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567C051B-7717-4490-95E0-9F7548538F1A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A.1. PRIHODI" sheetId="5" r:id="rId1"/>
    <sheet name="A.2. RASHODI" sheetId="6" r:id="rId2"/>
    <sheet name="A.3. RASHODI PREMA IZVORIMA FIN" sheetId="3" r:id="rId3"/>
    <sheet name="II. POSEBNI D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6" l="1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D51" i="6" s="1"/>
  <c r="G51" i="6"/>
  <c r="F51" i="6"/>
  <c r="E51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D50" i="6" s="1"/>
  <c r="G50" i="6"/>
  <c r="F50" i="6"/>
  <c r="E50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D49" i="6" s="1"/>
  <c r="G49" i="6"/>
  <c r="F49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D48" i="6" s="1"/>
  <c r="G48" i="6"/>
  <c r="F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G47" i="6"/>
  <c r="F47" i="6"/>
  <c r="E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D46" i="6" s="1"/>
  <c r="G46" i="6"/>
  <c r="F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D45" i="6" s="1"/>
  <c r="G45" i="6"/>
  <c r="F45" i="6"/>
  <c r="E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D44" i="6" s="1"/>
  <c r="G44" i="6"/>
  <c r="F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D43" i="6" s="1"/>
  <c r="G43" i="6"/>
  <c r="F43" i="6"/>
  <c r="E43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D42" i="6" s="1"/>
  <c r="G42" i="6"/>
  <c r="F42" i="6"/>
  <c r="W41" i="6"/>
  <c r="V41" i="6"/>
  <c r="U41" i="6"/>
  <c r="T41" i="6"/>
  <c r="S41" i="6"/>
  <c r="R41" i="6"/>
  <c r="Q41" i="6"/>
  <c r="P41" i="6"/>
  <c r="O41" i="6"/>
  <c r="N41" i="6"/>
  <c r="M41" i="6"/>
  <c r="L41" i="6"/>
  <c r="J41" i="6"/>
  <c r="I41" i="6"/>
  <c r="H41" i="6"/>
  <c r="D41" i="6" s="1"/>
  <c r="G41" i="6"/>
  <c r="F41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D40" i="6" s="1"/>
  <c r="G40" i="6"/>
  <c r="F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K38" i="6" s="1"/>
  <c r="J39" i="6"/>
  <c r="I39" i="6"/>
  <c r="G39" i="6"/>
  <c r="F39" i="6"/>
  <c r="E39" i="6"/>
  <c r="W38" i="6"/>
  <c r="V38" i="6"/>
  <c r="U38" i="6"/>
  <c r="T38" i="6"/>
  <c r="S38" i="6"/>
  <c r="R38" i="6"/>
  <c r="Q38" i="6"/>
  <c r="P38" i="6"/>
  <c r="O38" i="6"/>
  <c r="N38" i="6"/>
  <c r="M38" i="6"/>
  <c r="L38" i="6"/>
  <c r="J38" i="6"/>
  <c r="I38" i="6"/>
  <c r="G38" i="6"/>
  <c r="F38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D35" i="6" s="1"/>
  <c r="G35" i="6"/>
  <c r="F35" i="6"/>
  <c r="E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D34" i="6" s="1"/>
  <c r="G34" i="6"/>
  <c r="F34" i="6"/>
  <c r="E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D33" i="6" s="1"/>
  <c r="G33" i="6"/>
  <c r="F33" i="6"/>
  <c r="E33" i="6"/>
  <c r="W32" i="6"/>
  <c r="V32" i="6"/>
  <c r="U32" i="6"/>
  <c r="T32" i="6"/>
  <c r="S32" i="6"/>
  <c r="R32" i="6"/>
  <c r="Q32" i="6"/>
  <c r="P32" i="6"/>
  <c r="O32" i="6"/>
  <c r="N32" i="6"/>
  <c r="M32" i="6"/>
  <c r="L32" i="6"/>
  <c r="D32" i="6" s="1"/>
  <c r="K32" i="6"/>
  <c r="J32" i="6"/>
  <c r="I32" i="6"/>
  <c r="H32" i="6"/>
  <c r="G32" i="6"/>
  <c r="F32" i="6"/>
  <c r="W31" i="6"/>
  <c r="V31" i="6"/>
  <c r="U31" i="6"/>
  <c r="S31" i="6"/>
  <c r="R31" i="6"/>
  <c r="Q31" i="6"/>
  <c r="P31" i="6"/>
  <c r="O31" i="6"/>
  <c r="N31" i="6"/>
  <c r="M31" i="6"/>
  <c r="L31" i="6"/>
  <c r="I31" i="6"/>
  <c r="H31" i="6"/>
  <c r="D31" i="6" s="1"/>
  <c r="G31" i="6"/>
  <c r="F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G30" i="6"/>
  <c r="F30" i="6"/>
  <c r="E30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D29" i="6" s="1"/>
  <c r="G29" i="6"/>
  <c r="F29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D28" i="6" s="1"/>
  <c r="G28" i="6"/>
  <c r="F28" i="6"/>
  <c r="E28" i="6"/>
  <c r="W27" i="6"/>
  <c r="V27" i="6"/>
  <c r="U27" i="6"/>
  <c r="T27" i="6"/>
  <c r="S27" i="6"/>
  <c r="R27" i="6"/>
  <c r="Q27" i="6"/>
  <c r="P27" i="6"/>
  <c r="O27" i="6"/>
  <c r="N27" i="6"/>
  <c r="M27" i="6"/>
  <c r="L27" i="6"/>
  <c r="J27" i="6"/>
  <c r="I27" i="6"/>
  <c r="H27" i="6"/>
  <c r="D27" i="6" s="1"/>
  <c r="G27" i="6"/>
  <c r="F27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D26" i="6" s="1"/>
  <c r="G26" i="6"/>
  <c r="F26" i="6"/>
  <c r="E26" i="6"/>
  <c r="W25" i="6"/>
  <c r="V25" i="6"/>
  <c r="U25" i="6"/>
  <c r="T25" i="6"/>
  <c r="S25" i="6"/>
  <c r="R25" i="6"/>
  <c r="Q25" i="6"/>
  <c r="P25" i="6"/>
  <c r="D25" i="6" s="1"/>
  <c r="O25" i="6"/>
  <c r="N25" i="6"/>
  <c r="M25" i="6"/>
  <c r="L25" i="6"/>
  <c r="K25" i="6"/>
  <c r="J25" i="6"/>
  <c r="I25" i="6"/>
  <c r="H25" i="6"/>
  <c r="G25" i="6"/>
  <c r="F25" i="6"/>
  <c r="W24" i="6"/>
  <c r="V24" i="6"/>
  <c r="U24" i="6"/>
  <c r="S24" i="6"/>
  <c r="R24" i="6"/>
  <c r="Q24" i="6"/>
  <c r="P24" i="6"/>
  <c r="O24" i="6"/>
  <c r="N24" i="6"/>
  <c r="M24" i="6"/>
  <c r="L24" i="6"/>
  <c r="D24" i="6" s="1"/>
  <c r="I24" i="6"/>
  <c r="H24" i="6"/>
  <c r="G24" i="6"/>
  <c r="F24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D23" i="6" s="1"/>
  <c r="G23" i="6"/>
  <c r="F23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J21" i="6" s="1"/>
  <c r="I22" i="6"/>
  <c r="G22" i="6"/>
  <c r="F22" i="6"/>
  <c r="E22" i="6"/>
  <c r="E21" i="6" s="1"/>
  <c r="W21" i="6"/>
  <c r="V21" i="6"/>
  <c r="U21" i="6"/>
  <c r="T21" i="6"/>
  <c r="S21" i="6"/>
  <c r="R21" i="6"/>
  <c r="Q21" i="6"/>
  <c r="P21" i="6"/>
  <c r="O21" i="6"/>
  <c r="N21" i="6"/>
  <c r="M21" i="6"/>
  <c r="L21" i="6"/>
  <c r="I21" i="6"/>
  <c r="G21" i="6"/>
  <c r="F21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D17" i="6" s="1"/>
  <c r="G17" i="6"/>
  <c r="F17" i="6"/>
  <c r="E17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D16" i="6" s="1"/>
  <c r="G16" i="6"/>
  <c r="F16" i="6"/>
  <c r="E16" i="6"/>
  <c r="W15" i="6"/>
  <c r="V15" i="6"/>
  <c r="U15" i="6"/>
  <c r="T15" i="6"/>
  <c r="S15" i="6"/>
  <c r="R15" i="6"/>
  <c r="Q15" i="6"/>
  <c r="P15" i="6"/>
  <c r="M15" i="6"/>
  <c r="L15" i="6"/>
  <c r="J15" i="6"/>
  <c r="I15" i="6"/>
  <c r="H15" i="6"/>
  <c r="D15" i="6" s="1"/>
  <c r="G15" i="6"/>
  <c r="W14" i="6"/>
  <c r="V14" i="6"/>
  <c r="U14" i="6"/>
  <c r="S14" i="6"/>
  <c r="R14" i="6"/>
  <c r="Q14" i="6"/>
  <c r="P14" i="6"/>
  <c r="O14" i="6"/>
  <c r="N14" i="6"/>
  <c r="M14" i="6"/>
  <c r="L14" i="6"/>
  <c r="K14" i="6"/>
  <c r="I14" i="6"/>
  <c r="H14" i="6"/>
  <c r="H13" i="6" s="1"/>
  <c r="H4" i="6" s="1"/>
  <c r="G14" i="6"/>
  <c r="D14" i="6" s="1"/>
  <c r="F14" i="6"/>
  <c r="W13" i="6"/>
  <c r="V13" i="6"/>
  <c r="U13" i="6"/>
  <c r="T13" i="6"/>
  <c r="T4" i="6" s="1"/>
  <c r="S13" i="6"/>
  <c r="R13" i="6"/>
  <c r="Q13" i="6"/>
  <c r="P13" i="6"/>
  <c r="O13" i="6"/>
  <c r="N13" i="6"/>
  <c r="M13" i="6"/>
  <c r="L13" i="6"/>
  <c r="K13" i="6"/>
  <c r="J13" i="6"/>
  <c r="I13" i="6"/>
  <c r="G13" i="6"/>
  <c r="F13" i="6"/>
  <c r="E13" i="6"/>
  <c r="W12" i="6"/>
  <c r="V12" i="6"/>
  <c r="U12" i="6"/>
  <c r="T12" i="6"/>
  <c r="S12" i="6"/>
  <c r="R12" i="6"/>
  <c r="Q12" i="6"/>
  <c r="P12" i="6"/>
  <c r="N12" i="6"/>
  <c r="M12" i="6"/>
  <c r="L12" i="6"/>
  <c r="K12" i="6"/>
  <c r="J12" i="6"/>
  <c r="I12" i="6"/>
  <c r="H12" i="6"/>
  <c r="G12" i="6"/>
  <c r="D12" i="6" s="1"/>
  <c r="F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D11" i="6" s="1"/>
  <c r="F11" i="6"/>
  <c r="E11" i="6"/>
  <c r="W10" i="6"/>
  <c r="V10" i="6"/>
  <c r="U10" i="6"/>
  <c r="S10" i="6"/>
  <c r="R10" i="6"/>
  <c r="Q10" i="6"/>
  <c r="P10" i="6"/>
  <c r="M10" i="6"/>
  <c r="L10" i="6"/>
  <c r="J10" i="6"/>
  <c r="I10" i="6"/>
  <c r="H10" i="6"/>
  <c r="G10" i="6"/>
  <c r="D10" i="6" s="1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D9" i="6" s="1"/>
  <c r="F9" i="6"/>
  <c r="E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D8" i="6" s="1"/>
  <c r="F8" i="6"/>
  <c r="W7" i="6"/>
  <c r="V7" i="6"/>
  <c r="U7" i="6"/>
  <c r="S7" i="6"/>
  <c r="R7" i="6"/>
  <c r="Q7" i="6"/>
  <c r="P7" i="6"/>
  <c r="M7" i="6"/>
  <c r="L7" i="6"/>
  <c r="I7" i="6"/>
  <c r="H7" i="6"/>
  <c r="G7" i="6"/>
  <c r="D7" i="6" s="1"/>
  <c r="E5" i="6"/>
  <c r="W6" i="6"/>
  <c r="V6" i="6"/>
  <c r="U6" i="6"/>
  <c r="S6" i="6"/>
  <c r="R6" i="6"/>
  <c r="Q6" i="6"/>
  <c r="P6" i="6"/>
  <c r="M6" i="6"/>
  <c r="L6" i="6"/>
  <c r="K5" i="6"/>
  <c r="J6" i="6"/>
  <c r="I6" i="6"/>
  <c r="H6" i="6"/>
  <c r="G6" i="6"/>
  <c r="G5" i="6" s="1"/>
  <c r="G4" i="6" s="1"/>
  <c r="W5" i="6"/>
  <c r="V5" i="6"/>
  <c r="U5" i="6"/>
  <c r="T5" i="6"/>
  <c r="S5" i="6"/>
  <c r="R5" i="6"/>
  <c r="Q5" i="6"/>
  <c r="P5" i="6"/>
  <c r="O5" i="6"/>
  <c r="O4" i="6" s="1"/>
  <c r="N5" i="6"/>
  <c r="N4" i="6" s="1"/>
  <c r="M5" i="6"/>
  <c r="L5" i="6"/>
  <c r="J5" i="6"/>
  <c r="I5" i="6"/>
  <c r="H5" i="6"/>
  <c r="F5" i="6"/>
  <c r="W4" i="6"/>
  <c r="V4" i="6"/>
  <c r="U4" i="6"/>
  <c r="S4" i="6"/>
  <c r="R4" i="6"/>
  <c r="Q4" i="6"/>
  <c r="P4" i="6"/>
  <c r="M4" i="6"/>
  <c r="L4" i="6"/>
  <c r="I4" i="6"/>
  <c r="E38" i="6" l="1"/>
  <c r="K21" i="6"/>
  <c r="K4" i="6"/>
  <c r="J4" i="6"/>
  <c r="F4" i="6"/>
  <c r="D13" i="6"/>
  <c r="E4" i="6"/>
  <c r="D5" i="6"/>
  <c r="D6" i="6"/>
  <c r="H22" i="6"/>
  <c r="H30" i="6"/>
  <c r="D30" i="6" s="1"/>
  <c r="H39" i="6"/>
  <c r="H47" i="6"/>
  <c r="D47" i="6" s="1"/>
  <c r="D4" i="6" l="1"/>
  <c r="D22" i="6"/>
  <c r="H21" i="6"/>
  <c r="D21" i="6" s="1"/>
  <c r="D39" i="6"/>
  <c r="H38" i="6"/>
  <c r="D38" i="6" s="1"/>
  <c r="V46" i="5" l="1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V45" i="5"/>
  <c r="U45" i="5"/>
  <c r="U47" i="5" s="1"/>
  <c r="T45" i="5"/>
  <c r="T47" i="5" s="1"/>
  <c r="S45" i="5"/>
  <c r="S47" i="5" s="1"/>
  <c r="R45" i="5"/>
  <c r="Q45" i="5"/>
  <c r="Q47" i="5" s="1"/>
  <c r="P45" i="5"/>
  <c r="P47" i="5" s="1"/>
  <c r="O45" i="5"/>
  <c r="O47" i="5" s="1"/>
  <c r="N45" i="5"/>
  <c r="M45" i="5"/>
  <c r="M47" i="5" s="1"/>
  <c r="L45" i="5"/>
  <c r="L47" i="5" s="1"/>
  <c r="K45" i="5"/>
  <c r="K47" i="5" s="1"/>
  <c r="K36" i="5" s="1"/>
  <c r="J45" i="5"/>
  <c r="I45" i="5"/>
  <c r="I47" i="5" s="1"/>
  <c r="H45" i="5"/>
  <c r="H47" i="5" s="1"/>
  <c r="G45" i="5"/>
  <c r="G47" i="5" s="1"/>
  <c r="G36" i="5" s="1"/>
  <c r="F45" i="5"/>
  <c r="E45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 s="1"/>
  <c r="V37" i="5"/>
  <c r="U37" i="5"/>
  <c r="T37" i="5"/>
  <c r="S37" i="5"/>
  <c r="S44" i="5" s="1"/>
  <c r="R37" i="5"/>
  <c r="Q37" i="5"/>
  <c r="P37" i="5"/>
  <c r="O37" i="5"/>
  <c r="O44" i="5" s="1"/>
  <c r="N37" i="5"/>
  <c r="M37" i="5"/>
  <c r="L37" i="5"/>
  <c r="K37" i="5"/>
  <c r="K44" i="5" s="1"/>
  <c r="J37" i="5"/>
  <c r="I37" i="5"/>
  <c r="H37" i="5"/>
  <c r="G37" i="5"/>
  <c r="G44" i="5" s="1"/>
  <c r="F37" i="5"/>
  <c r="E37" i="5"/>
  <c r="V32" i="5"/>
  <c r="V33" i="5" s="1"/>
  <c r="U32" i="5"/>
  <c r="T32" i="5"/>
  <c r="S32" i="5"/>
  <c r="R32" i="5"/>
  <c r="R33" i="5" s="1"/>
  <c r="Q32" i="5"/>
  <c r="P32" i="5"/>
  <c r="O32" i="5"/>
  <c r="N32" i="5"/>
  <c r="N33" i="5" s="1"/>
  <c r="M32" i="5"/>
  <c r="L32" i="5"/>
  <c r="K32" i="5"/>
  <c r="J32" i="5"/>
  <c r="J33" i="5" s="1"/>
  <c r="I32" i="5"/>
  <c r="H32" i="5"/>
  <c r="G32" i="5"/>
  <c r="F32" i="5"/>
  <c r="F33" i="5" s="1"/>
  <c r="E32" i="5"/>
  <c r="D32" i="5" s="1"/>
  <c r="V31" i="5"/>
  <c r="U31" i="5"/>
  <c r="T31" i="5"/>
  <c r="T33" i="5" s="1"/>
  <c r="S31" i="5"/>
  <c r="S33" i="5" s="1"/>
  <c r="S22" i="5" s="1"/>
  <c r="R31" i="5"/>
  <c r="Q31" i="5"/>
  <c r="P31" i="5"/>
  <c r="P33" i="5" s="1"/>
  <c r="O31" i="5"/>
  <c r="O33" i="5" s="1"/>
  <c r="N31" i="5"/>
  <c r="M31" i="5"/>
  <c r="L31" i="5"/>
  <c r="L33" i="5" s="1"/>
  <c r="K31" i="5"/>
  <c r="K33" i="5" s="1"/>
  <c r="J31" i="5"/>
  <c r="I31" i="5"/>
  <c r="H31" i="5"/>
  <c r="H33" i="5" s="1"/>
  <c r="G31" i="5"/>
  <c r="G33" i="5" s="1"/>
  <c r="F31" i="5"/>
  <c r="E31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 s="1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D28" i="5" s="1"/>
  <c r="E28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D24" i="5" s="1"/>
  <c r="E24" i="5"/>
  <c r="V23" i="5"/>
  <c r="U23" i="5"/>
  <c r="U30" i="5" s="1"/>
  <c r="T23" i="5"/>
  <c r="S23" i="5"/>
  <c r="S30" i="5" s="1"/>
  <c r="R23" i="5"/>
  <c r="Q23" i="5"/>
  <c r="Q30" i="5" s="1"/>
  <c r="P23" i="5"/>
  <c r="O23" i="5"/>
  <c r="O30" i="5" s="1"/>
  <c r="N23" i="5"/>
  <c r="M23" i="5"/>
  <c r="M30" i="5" s="1"/>
  <c r="L23" i="5"/>
  <c r="K23" i="5"/>
  <c r="K30" i="5" s="1"/>
  <c r="J23" i="5"/>
  <c r="I23" i="5"/>
  <c r="I30" i="5" s="1"/>
  <c r="H23" i="5"/>
  <c r="G23" i="5"/>
  <c r="G30" i="5" s="1"/>
  <c r="F23" i="5"/>
  <c r="E23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V17" i="5"/>
  <c r="U17" i="5"/>
  <c r="T17" i="5"/>
  <c r="T19" i="5" s="1"/>
  <c r="S17" i="5"/>
  <c r="S19" i="5" s="1"/>
  <c r="R17" i="5"/>
  <c r="Q17" i="5"/>
  <c r="P17" i="5"/>
  <c r="P19" i="5" s="1"/>
  <c r="O17" i="5"/>
  <c r="O19" i="5" s="1"/>
  <c r="N17" i="5"/>
  <c r="M17" i="5"/>
  <c r="L17" i="5"/>
  <c r="L19" i="5" s="1"/>
  <c r="K17" i="5"/>
  <c r="K19" i="5" s="1"/>
  <c r="J17" i="5"/>
  <c r="I17" i="5"/>
  <c r="H17" i="5"/>
  <c r="H19" i="5" s="1"/>
  <c r="G17" i="5"/>
  <c r="G19" i="5" s="1"/>
  <c r="F17" i="5"/>
  <c r="E17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V9" i="5"/>
  <c r="U9" i="5"/>
  <c r="U16" i="5" s="1"/>
  <c r="T9" i="5"/>
  <c r="S9" i="5"/>
  <c r="R9" i="5"/>
  <c r="Q9" i="5"/>
  <c r="Q16" i="5" s="1"/>
  <c r="P9" i="5"/>
  <c r="O9" i="5"/>
  <c r="N9" i="5"/>
  <c r="M9" i="5"/>
  <c r="M16" i="5" s="1"/>
  <c r="L9" i="5"/>
  <c r="K9" i="5"/>
  <c r="J9" i="5"/>
  <c r="I9" i="5"/>
  <c r="I16" i="5" s="1"/>
  <c r="H9" i="5"/>
  <c r="G9" i="5"/>
  <c r="F9" i="5"/>
  <c r="E9" i="5"/>
  <c r="F19" i="5" l="1"/>
  <c r="J19" i="5"/>
  <c r="N19" i="5"/>
  <c r="R19" i="5"/>
  <c r="V19" i="5"/>
  <c r="H16" i="5"/>
  <c r="P16" i="5"/>
  <c r="P8" i="5" s="1"/>
  <c r="G16" i="5"/>
  <c r="O16" i="5"/>
  <c r="O8" i="5" s="1"/>
  <c r="F16" i="5"/>
  <c r="J16" i="5"/>
  <c r="J8" i="5" s="1"/>
  <c r="N16" i="5"/>
  <c r="R16" i="5"/>
  <c r="V16" i="5"/>
  <c r="D14" i="5"/>
  <c r="F30" i="5"/>
  <c r="J30" i="5"/>
  <c r="N30" i="5"/>
  <c r="R30" i="5"/>
  <c r="V30" i="5"/>
  <c r="H30" i="5"/>
  <c r="L30" i="5"/>
  <c r="P30" i="5"/>
  <c r="P22" i="5" s="1"/>
  <c r="T30" i="5"/>
  <c r="D45" i="5"/>
  <c r="I36" i="5"/>
  <c r="M36" i="5"/>
  <c r="D9" i="5"/>
  <c r="D11" i="5"/>
  <c r="D13" i="5"/>
  <c r="D15" i="5"/>
  <c r="D31" i="5"/>
  <c r="I33" i="5"/>
  <c r="I22" i="5" s="1"/>
  <c r="M33" i="5"/>
  <c r="M22" i="5" s="1"/>
  <c r="Q33" i="5"/>
  <c r="Q22" i="5" s="1"/>
  <c r="U33" i="5"/>
  <c r="U22" i="5" s="1"/>
  <c r="D37" i="5"/>
  <c r="I44" i="5"/>
  <c r="M44" i="5"/>
  <c r="Q44" i="5"/>
  <c r="Q36" i="5" s="1"/>
  <c r="U44" i="5"/>
  <c r="U36" i="5" s="1"/>
  <c r="D39" i="5"/>
  <c r="D42" i="5"/>
  <c r="F47" i="5"/>
  <c r="F36" i="5" s="1"/>
  <c r="J47" i="5"/>
  <c r="J36" i="5" s="1"/>
  <c r="N47" i="5"/>
  <c r="R47" i="5"/>
  <c r="V47" i="5"/>
  <c r="V36" i="5" s="1"/>
  <c r="L16" i="5"/>
  <c r="L8" i="5" s="1"/>
  <c r="F44" i="5"/>
  <c r="J44" i="5"/>
  <c r="N44" i="5"/>
  <c r="R44" i="5"/>
  <c r="V44" i="5"/>
  <c r="D41" i="5"/>
  <c r="D43" i="5"/>
  <c r="D46" i="5"/>
  <c r="T16" i="5"/>
  <c r="K16" i="5"/>
  <c r="K8" i="5" s="1"/>
  <c r="S16" i="5"/>
  <c r="S8" i="5" s="1"/>
  <c r="D17" i="5"/>
  <c r="I19" i="5"/>
  <c r="M19" i="5"/>
  <c r="Q19" i="5"/>
  <c r="U19" i="5"/>
  <c r="U8" i="5" s="1"/>
  <c r="D23" i="5"/>
  <c r="D25" i="5"/>
  <c r="D27" i="5"/>
  <c r="H44" i="5"/>
  <c r="L44" i="5"/>
  <c r="P44" i="5"/>
  <c r="T44" i="5"/>
  <c r="H22" i="5"/>
  <c r="F22" i="5"/>
  <c r="N22" i="5"/>
  <c r="R22" i="5"/>
  <c r="H8" i="5"/>
  <c r="T8" i="5"/>
  <c r="F8" i="5"/>
  <c r="N8" i="5"/>
  <c r="R8" i="5"/>
  <c r="V8" i="5"/>
  <c r="K22" i="5"/>
  <c r="O36" i="5"/>
  <c r="L22" i="5"/>
  <c r="T22" i="5"/>
  <c r="J22" i="5"/>
  <c r="V22" i="5"/>
  <c r="G22" i="5"/>
  <c r="I8" i="5"/>
  <c r="M8" i="5"/>
  <c r="Q8" i="5"/>
  <c r="G8" i="5"/>
  <c r="O22" i="5"/>
  <c r="H36" i="5"/>
  <c r="L36" i="5"/>
  <c r="P36" i="5"/>
  <c r="T36" i="5"/>
  <c r="S36" i="5"/>
  <c r="D26" i="5"/>
  <c r="E16" i="5"/>
  <c r="E30" i="5"/>
  <c r="E44" i="5"/>
  <c r="D44" i="5" s="1"/>
  <c r="D10" i="5"/>
  <c r="D18" i="5"/>
  <c r="E19" i="5"/>
  <c r="E33" i="5"/>
  <c r="E47" i="5"/>
  <c r="D12" i="5"/>
  <c r="D16" i="5" l="1"/>
  <c r="R36" i="5"/>
  <c r="D30" i="5"/>
  <c r="N36" i="5"/>
  <c r="D19" i="5"/>
  <c r="E8" i="5"/>
  <c r="D8" i="5" s="1"/>
  <c r="D47" i="5"/>
  <c r="E36" i="5"/>
  <c r="D33" i="5"/>
  <c r="E22" i="5"/>
  <c r="D22" i="5" s="1"/>
  <c r="D36" i="5" l="1"/>
  <c r="E31" i="3"/>
  <c r="E30" i="3" s="1"/>
  <c r="D31" i="3"/>
  <c r="D30" i="3" s="1"/>
  <c r="C31" i="3"/>
  <c r="C30" i="3" s="1"/>
  <c r="E29" i="3"/>
  <c r="E28" i="3" s="1"/>
  <c r="D29" i="3"/>
  <c r="D28" i="3" s="1"/>
  <c r="C29" i="3"/>
  <c r="C28" i="3" s="1"/>
  <c r="E27" i="3"/>
  <c r="D27" i="3"/>
  <c r="C27" i="3"/>
  <c r="E26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E19" i="3"/>
  <c r="D19" i="3"/>
  <c r="E18" i="3"/>
  <c r="D18" i="3"/>
  <c r="C18" i="3"/>
  <c r="E17" i="3"/>
  <c r="D17" i="3"/>
  <c r="C17" i="3"/>
  <c r="E15" i="3"/>
  <c r="E13" i="3"/>
  <c r="D13" i="3"/>
  <c r="C13" i="3"/>
  <c r="E12" i="3"/>
  <c r="D12" i="3"/>
  <c r="C12" i="3"/>
  <c r="E10" i="3"/>
  <c r="E9" i="3" s="1"/>
  <c r="D10" i="3"/>
  <c r="D9" i="3" s="1"/>
  <c r="C10" i="3"/>
  <c r="C9" i="3" s="1"/>
  <c r="E8" i="3"/>
  <c r="D8" i="3"/>
  <c r="C6" i="3"/>
  <c r="E14" i="3" l="1"/>
  <c r="C14" i="3"/>
  <c r="D11" i="3"/>
  <c r="D25" i="3"/>
  <c r="D6" i="3"/>
  <c r="E25" i="3"/>
  <c r="E6" i="3"/>
  <c r="C11" i="3"/>
  <c r="D14" i="3"/>
  <c r="E11" i="3"/>
  <c r="C5" i="3" l="1"/>
  <c r="E5" i="3"/>
  <c r="D5" i="3"/>
</calcChain>
</file>

<file path=xl/sharedStrings.xml><?xml version="1.0" encoding="utf-8"?>
<sst xmlns="http://schemas.openxmlformats.org/spreadsheetml/2006/main" count="372" uniqueCount="151">
  <si>
    <t>I. OPĆI DIO</t>
  </si>
  <si>
    <t xml:space="preserve">A. RAČUN PRIHODA I RASHODA </t>
  </si>
  <si>
    <t>A1. PRIHODI POSLOVANJA I PRIHODI OD PRODAJE NEFINANCIJSKE IMOVINE</t>
  </si>
  <si>
    <t>u EUR</t>
  </si>
  <si>
    <t>Godina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</si>
  <si>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</si>
  <si>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</si>
  <si>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</si>
  <si>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</si>
  <si>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</si>
  <si>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</si>
  <si>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</si>
  <si>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</si>
  <si>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</si>
  <si>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</si>
  <si>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</si>
  <si>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</si>
  <si>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</si>
  <si>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</si>
  <si>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</si>
  <si>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</si>
  <si>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</si>
  <si>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</si>
  <si>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</si>
  <si>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</si>
  <si>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</si>
  <si>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UKUPNO PRIHODI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</si>
  <si>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</si>
  <si>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</si>
  <si>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</si>
  <si>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</si>
  <si>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</si>
  <si>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</si>
  <si>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</si>
  <si>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</si>
  <si>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</si>
  <si>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</si>
  <si>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</si>
  <si>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</si>
  <si>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</si>
  <si>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</si>
  <si>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6</t>
  </si>
  <si>
    <t>UKUPNO:</t>
  </si>
  <si>
    <t>71</t>
  </si>
  <si>
    <t>Prihodi od prodaje neproizvedene dugotrajne imovine</t>
  </si>
  <si>
    <t>72</t>
  </si>
  <si>
    <t>Prihodi od prodaje proizvedene dugotrajne imovine</t>
  </si>
  <si>
    <t>7</t>
  </si>
  <si>
    <t>A.3. RASHODI PREMA IZVORIMA FINANCIRANJA</t>
  </si>
  <si>
    <t>BROJČANA OZNAKA</t>
  </si>
  <si>
    <t>NAZIV IZVORA FINANCIRANJA</t>
  </si>
  <si>
    <t>PLAN
za 2023.</t>
  </si>
  <si>
    <t>PROJEKCIJA 
za 2024.</t>
  </si>
  <si>
    <t>PROJEKCIJA 
za 2025.</t>
  </si>
  <si>
    <t>UKUPNI RASHODI</t>
  </si>
  <si>
    <t>OPĆI PRIHODI I PRIMICI</t>
  </si>
  <si>
    <t xml:space="preserve">Opći prihodi i primici </t>
  </si>
  <si>
    <t>Sredstva učešća za pomoći</t>
  </si>
  <si>
    <t>VLASTITI PRIHODI</t>
  </si>
  <si>
    <t xml:space="preserve">Vlastiti prihodi </t>
  </si>
  <si>
    <t>PRIHODI ZA POSEBNE NAMJENE</t>
  </si>
  <si>
    <t>Prihodi od igara na sreću</t>
  </si>
  <si>
    <t xml:space="preserve"> Prihodi za posebne namjene </t>
  </si>
  <si>
    <t>POMOĆI</t>
  </si>
  <si>
    <t xml:space="preserve"> Pomoći EU</t>
  </si>
  <si>
    <t xml:space="preserve">Ostale pomoći </t>
  </si>
  <si>
    <t xml:space="preserve"> Ostale pomoći </t>
  </si>
  <si>
    <t>Ostale refundacije iz sredstava EU</t>
  </si>
  <si>
    <t>Europski socijalni fond (ESF)</t>
  </si>
  <si>
    <t>Europski fond za regionalni razvoj (EFRR)</t>
  </si>
  <si>
    <t>Instrumenti Europskog gospodarskog prostora i ostali instrumenti</t>
  </si>
  <si>
    <t>Fondovi za unutarnje poslove</t>
  </si>
  <si>
    <t>Fond solidarnosti Europske unije</t>
  </si>
  <si>
    <t>Mehanizam za oporavak i otpornost</t>
  </si>
  <si>
    <t>DONACIJE</t>
  </si>
  <si>
    <t xml:space="preserve">Donacije </t>
  </si>
  <si>
    <t xml:space="preserve"> Inozemne donacije </t>
  </si>
  <si>
    <t>PRIHODI OD PRODAJE ILI ZAMJENE NEFINANCIJSKE IMOVINE I NAKNADE S NASLOVA OSIGURANJA</t>
  </si>
  <si>
    <t>Prihodi od nefin. imovine i nadoknade šteta s osnova osig.</t>
  </si>
  <si>
    <t>NAMJENSKI PRIMICI</t>
  </si>
  <si>
    <t>Namjenski primici od zaduživanja</t>
  </si>
  <si>
    <t>II. POSEBNI DIO</t>
  </si>
  <si>
    <t>Korisnik</t>
  </si>
  <si>
    <t>PROGRAM</t>
  </si>
  <si>
    <t>AKTIVNOST</t>
  </si>
  <si>
    <t>OPIS AKTIVNOSTI</t>
  </si>
  <si>
    <t>IZVOR</t>
  </si>
  <si>
    <t>OPIS IZVORA</t>
  </si>
  <si>
    <t>SKUPINA RASHODA/ IZDATAKA</t>
  </si>
  <si>
    <t>Projekcija plana za 2024.</t>
  </si>
  <si>
    <t>Projekcija plana za 2025.</t>
  </si>
  <si>
    <t>3701 VISOKO OBRAZOVANJE</t>
  </si>
  <si>
    <t>Opći prihodi i primici</t>
  </si>
  <si>
    <t>31</t>
  </si>
  <si>
    <t>32</t>
  </si>
  <si>
    <t>A622122</t>
  </si>
  <si>
    <t>PROGRAMSKO FINANCIRANJE JAVNIH VISOKIH UČILIŠTA</t>
  </si>
  <si>
    <t>34</t>
  </si>
  <si>
    <t>37</t>
  </si>
  <si>
    <t>41</t>
  </si>
  <si>
    <t>42</t>
  </si>
  <si>
    <t>Pomoći EU</t>
  </si>
  <si>
    <t>Ostale pomoći</t>
  </si>
  <si>
    <t>Vlastiti prihodi</t>
  </si>
  <si>
    <t>38</t>
  </si>
  <si>
    <t>45</t>
  </si>
  <si>
    <t>Ostali prihodi za posebne namjene</t>
  </si>
  <si>
    <t>36</t>
  </si>
  <si>
    <t>A621181</t>
  </si>
  <si>
    <t>PRAVOMOĆNE SUDSKE PRESUDE</t>
  </si>
  <si>
    <t>K679106</t>
  </si>
  <si>
    <t>OP UČINKOVITI LJUDSKI POTENCIJALI 2014.-2020., PRIORITET 3</t>
  </si>
  <si>
    <t>A621004</t>
  </si>
  <si>
    <t>REDOVNA DJELATNOST SVEUČILIŠTA U SPLITU</t>
  </si>
  <si>
    <t>A679077</t>
  </si>
  <si>
    <t>EU PROJEKTI SVEUČILIŠTA U SPLITU (IZ EVIDENCIJSKIH PRIHODA)</t>
  </si>
  <si>
    <t>A679091</t>
  </si>
  <si>
    <t>REDOVNA DJELATNOST SVEUČILIŠTA U SPLITU (IZ EVIDENCIJSKIH PRIHODA)</t>
  </si>
  <si>
    <t>A621180</t>
  </si>
  <si>
    <t>REKTORSKI ZBOR</t>
  </si>
  <si>
    <t>A679110</t>
  </si>
  <si>
    <t>POTPORA UMJETNIČKIM STUDIJIMA</t>
  </si>
  <si>
    <t>2469 SVEUČILIŠTE U SPLITU</t>
  </si>
  <si>
    <t>A. 2. RASHODI POSLOVANJA I RASHODI ZA NABAVU NEFINANCIJSKE IMOVINE</t>
  </si>
  <si>
    <t>Šifra</t>
  </si>
  <si>
    <t>Naziv</t>
  </si>
  <si>
    <t xml:space="preserve">IZVOR 11              Opći prihodi i primici </t>
  </si>
  <si>
    <t>IZVOR 41  Prihodi od igara na sreću</t>
  </si>
  <si>
    <t>IZVOR 575 Fondovi za unutarnje poslove</t>
  </si>
  <si>
    <t>IZVOR 576 Fond solidarnosti Europske unije</t>
  </si>
  <si>
    <t>IZVOR 71                          Prihodi od nefin. imovine i nadoknade šteta s osnova osig.</t>
  </si>
  <si>
    <t>IZVOR 81                Namjenski primici od zaduživanja</t>
  </si>
  <si>
    <t>UKUPNO RASHODI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</si>
  <si>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</si>
  <si>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</si>
  <si>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</si>
  <si>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</si>
  <si>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</si>
  <si>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</si>
  <si>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</si>
  <si>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</si>
  <si>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</si>
  <si>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</si>
  <si>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</si>
  <si>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</si>
  <si>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</si>
  <si>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</si>
  <si>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>PROJEKCIJA PLANA 
UKUPNO za 2024.</t>
  </si>
  <si>
    <t>PROJEKCIJA PLANA 
UKUPNO za 2025.</t>
  </si>
  <si>
    <t>Financijski plan za 2023.</t>
  </si>
  <si>
    <t>FINANCIJSKI PLAN 
UKUPNO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</si>
</sst>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6"/>
      <color indexed="62"/>
      <name val="Calibri"/>
      <family val="2"/>
      <charset val="238"/>
    </font>
    <font>
      <b/>
      <sz val="10"/>
      <color indexed="62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b/>
      <sz val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70">
    <xf numFmtId="0" fontId="0" fillId="0" borderId="0" xfId="0"/>
    <xf numFmtId="0" fontId="2" fillId="0" borderId="0" xfId="1" applyNumberFormat="1" applyFont="1" applyFill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1" fontId="4" fillId="0" borderId="0" xfId="1" applyNumberFormat="1" applyFont="1" applyAlignment="1" applyProtection="1">
      <alignment vertical="center" wrapText="1"/>
    </xf>
    <xf numFmtId="0" fontId="4" fillId="0" borderId="0" xfId="1" applyFont="1" applyAlignment="1" applyProtection="1">
      <alignment horizontal="right" vertical="center"/>
    </xf>
    <xf numFmtId="0" fontId="0" fillId="0" borderId="0" xfId="0" applyAlignment="1">
      <alignment horizontal="right"/>
    </xf>
    <xf numFmtId="1" fontId="5" fillId="2" borderId="1" xfId="1" applyNumberFormat="1" applyFont="1" applyFill="1" applyBorder="1" applyAlignment="1" applyProtection="1">
      <alignment horizontal="left" vertical="center" wrapText="1"/>
    </xf>
    <xf numFmtId="1" fontId="5" fillId="2" borderId="2" xfId="1" applyNumberFormat="1" applyFont="1" applyFill="1" applyBorder="1" applyAlignment="1" applyProtection="1">
      <alignment horizontal="left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vertical="center"/>
    </xf>
    <xf numFmtId="0" fontId="7" fillId="3" borderId="3" xfId="1" applyFont="1" applyFill="1" applyBorder="1" applyAlignment="1" applyProtection="1">
      <alignment vertical="center" wrapText="1"/>
    </xf>
    <xf numFmtId="3" fontId="8" fillId="3" borderId="3" xfId="1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left"/>
    </xf>
    <xf numFmtId="0" fontId="4" fillId="0" borderId="4" xfId="2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horizontal="right"/>
    </xf>
    <xf numFmtId="3" fontId="2" fillId="0" borderId="4" xfId="1" applyNumberFormat="1" applyFont="1" applyFill="1" applyBorder="1" applyAlignment="1" applyProtection="1">
      <alignment vertical="center"/>
    </xf>
    <xf numFmtId="49" fontId="2" fillId="0" borderId="3" xfId="1" applyNumberFormat="1" applyFont="1" applyFill="1" applyBorder="1" applyAlignment="1" applyProtection="1">
      <alignment horizontal="left"/>
    </xf>
    <xf numFmtId="0" fontId="4" fillId="0" borderId="3" xfId="2" applyFont="1" applyFill="1" applyBorder="1" applyAlignment="1" applyProtection="1">
      <alignment horizontal="left" vertical="center" wrapText="1"/>
    </xf>
    <xf numFmtId="49" fontId="4" fillId="0" borderId="3" xfId="1" applyNumberFormat="1" applyFont="1" applyFill="1" applyBorder="1" applyAlignment="1" applyProtection="1">
      <alignment horizontal="left"/>
    </xf>
    <xf numFmtId="49" fontId="10" fillId="4" borderId="3" xfId="1" applyNumberFormat="1" applyFont="1" applyFill="1" applyBorder="1" applyAlignment="1" applyProtection="1">
      <alignment horizontal="left"/>
    </xf>
    <xf numFmtId="0" fontId="11" fillId="4" borderId="3" xfId="2" applyFont="1" applyFill="1" applyBorder="1" applyAlignment="1" applyProtection="1">
      <alignment horizontal="left" vertical="center" wrapText="1"/>
    </xf>
    <xf numFmtId="3" fontId="10" fillId="4" borderId="3" xfId="1" applyNumberFormat="1" applyFont="1" applyFill="1" applyBorder="1" applyAlignment="1" applyProtection="1">
      <alignment vertical="center"/>
    </xf>
    <xf numFmtId="0" fontId="2" fillId="0" borderId="3" xfId="3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12" fillId="2" borderId="2" xfId="1" applyNumberFormat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right" vertical="center" wrapText="1"/>
    </xf>
    <xf numFmtId="0" fontId="8" fillId="3" borderId="3" xfId="1" applyFont="1" applyFill="1" applyBorder="1" applyAlignment="1" applyProtection="1">
      <alignment vertical="center" wrapText="1"/>
    </xf>
    <xf numFmtId="3" fontId="8" fillId="3" borderId="3" xfId="1" applyNumberFormat="1" applyFont="1" applyFill="1" applyBorder="1" applyAlignment="1" applyProtection="1">
      <alignment horizontal="right" vertical="center" wrapText="1"/>
    </xf>
    <xf numFmtId="0" fontId="13" fillId="4" borderId="3" xfId="2" applyFont="1" applyFill="1" applyBorder="1" applyAlignment="1" applyProtection="1">
      <alignment horizontal="right" vertical="center" wrapText="1"/>
    </xf>
    <xf numFmtId="0" fontId="13" fillId="4" borderId="3" xfId="2" applyFont="1" applyFill="1" applyBorder="1" applyAlignment="1" applyProtection="1">
      <alignment horizontal="left" vertical="center" wrapText="1"/>
    </xf>
    <xf numFmtId="3" fontId="13" fillId="4" borderId="3" xfId="2" applyNumberFormat="1" applyFont="1" applyFill="1" applyBorder="1" applyAlignment="1" applyProtection="1">
      <alignment horizontal="right" vertical="center" wrapText="1"/>
    </xf>
    <xf numFmtId="0" fontId="4" fillId="0" borderId="3" xfId="2" applyFont="1" applyFill="1" applyBorder="1" applyAlignment="1" applyProtection="1">
      <alignment horizontal="right" vertical="center" wrapText="1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1" applyProtection="1"/>
    <xf numFmtId="0" fontId="16" fillId="0" borderId="8" xfId="1" applyFont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17" fillId="5" borderId="3" xfId="1" applyNumberFormat="1" applyFont="1" applyFill="1" applyBorder="1" applyAlignment="1" applyProtection="1">
      <alignment vertical="center"/>
    </xf>
    <xf numFmtId="3" fontId="8" fillId="3" borderId="3" xfId="1" applyNumberFormat="1" applyFont="1" applyFill="1" applyBorder="1" applyAlignment="1" applyProtection="1">
      <alignment vertical="center" wrapText="1"/>
    </xf>
    <xf numFmtId="3" fontId="13" fillId="6" borderId="3" xfId="1" applyNumberFormat="1" applyFont="1" applyFill="1" applyBorder="1" applyAlignment="1" applyProtection="1">
      <alignment horizontal="left" vertical="center"/>
    </xf>
    <xf numFmtId="3" fontId="13" fillId="6" borderId="3" xfId="1" applyNumberFormat="1" applyFont="1" applyFill="1" applyBorder="1" applyAlignment="1" applyProtection="1">
      <alignment vertical="center" wrapText="1"/>
    </xf>
    <xf numFmtId="3" fontId="18" fillId="6" borderId="3" xfId="1" applyNumberFormat="1" applyFont="1" applyFill="1" applyBorder="1" applyProtection="1"/>
    <xf numFmtId="3" fontId="13" fillId="6" borderId="9" xfId="1" applyNumberFormat="1" applyFont="1" applyFill="1" applyBorder="1" applyAlignment="1" applyProtection="1">
      <alignment vertical="center"/>
    </xf>
    <xf numFmtId="3" fontId="11" fillId="7" borderId="3" xfId="1" applyNumberFormat="1" applyFont="1" applyFill="1" applyBorder="1" applyAlignment="1" applyProtection="1">
      <alignment horizontal="center" vertical="center"/>
    </xf>
    <xf numFmtId="3" fontId="11" fillId="7" borderId="3" xfId="1" applyNumberFormat="1" applyFont="1" applyFill="1" applyBorder="1" applyAlignment="1" applyProtection="1">
      <alignment vertical="center" wrapText="1"/>
    </xf>
    <xf numFmtId="3" fontId="18" fillId="4" borderId="10" xfId="1" applyNumberFormat="1" applyFont="1" applyFill="1" applyBorder="1" applyProtection="1"/>
    <xf numFmtId="3" fontId="4" fillId="7" borderId="3" xfId="1" applyNumberFormat="1" applyFont="1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vertical="center"/>
    </xf>
    <xf numFmtId="3" fontId="18" fillId="4" borderId="10" xfId="1" applyNumberFormat="1" applyFont="1" applyFill="1" applyBorder="1" applyAlignment="1" applyProtection="1">
      <alignment vertical="center"/>
    </xf>
    <xf numFmtId="0" fontId="11" fillId="0" borderId="3" xfId="1" applyNumberFormat="1" applyFont="1" applyFill="1" applyBorder="1" applyAlignment="1" applyProtection="1">
      <alignment vertical="center"/>
    </xf>
    <xf numFmtId="0" fontId="13" fillId="6" borderId="3" xfId="1" applyFont="1" applyFill="1" applyBorder="1" applyAlignment="1" applyProtection="1">
      <alignment horizontal="left" vertical="center"/>
    </xf>
    <xf numFmtId="0" fontId="18" fillId="6" borderId="3" xfId="1" applyFont="1" applyFill="1" applyBorder="1" applyAlignment="1" applyProtection="1">
      <alignment vertical="center"/>
    </xf>
    <xf numFmtId="3" fontId="18" fillId="6" borderId="3" xfId="1" applyNumberFormat="1" applyFont="1" applyFill="1" applyBorder="1" applyAlignment="1" applyProtection="1">
      <alignment vertical="center"/>
    </xf>
    <xf numFmtId="3" fontId="18" fillId="6" borderId="11" xfId="1" applyNumberFormat="1" applyFont="1" applyFill="1" applyBorder="1" applyAlignment="1" applyProtection="1">
      <alignment vertical="center"/>
    </xf>
    <xf numFmtId="0" fontId="2" fillId="0" borderId="0" xfId="1" applyFont="1" applyProtection="1"/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4">
    <cellStyle name="Normal 2" xfId="1" xr:uid="{23A86CBD-924C-42EB-9F3C-90684A327178}"/>
    <cellStyle name="Normalno" xfId="0" builtinId="0"/>
    <cellStyle name="Obično_List7" xfId="2" xr:uid="{9E7ABE99-93F8-4ED3-B376-EFAC72A48E8C}"/>
    <cellStyle name="Obično_List8" xfId="3" xr:uid="{E4D6E281-FE3D-48E5-9AA3-1FC399DF2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C259186C-8A15-46E1-9FC5-498FA7B3410B}"/>
            </a:ext>
          </a:extLst>
        </xdr:cNvPr>
        <xdr:cNvSpPr>
          <a:spLocks noChangeShapeType="1"/>
        </xdr:cNvSpPr>
      </xdr:nvSpPr>
      <xdr:spPr bwMode="auto">
        <a:xfrm>
          <a:off x="495300" y="1143000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1085850</xdr:colOff>
      <xdr:row>7</xdr:row>
      <xdr:rowOff>0</xdr:rowOff>
    </xdr:to>
    <xdr:sp macro="" textlink="">
      <xdr:nvSpPr>
        <xdr:cNvPr id="146" name="Line 2">
          <a:extLst>
            <a:ext uri="{FF2B5EF4-FFF2-40B4-BE49-F238E27FC236}">
              <a16:creationId xmlns:a16="http://schemas.microsoft.com/office/drawing/2014/main" id="{3934D130-32A1-47E6-9D9F-6FEF75EDE0D8}"/>
            </a:ext>
          </a:extLst>
        </xdr:cNvPr>
        <xdr:cNvSpPr>
          <a:spLocks noChangeShapeType="1"/>
        </xdr:cNvSpPr>
      </xdr:nvSpPr>
      <xdr:spPr bwMode="auto">
        <a:xfrm>
          <a:off x="485775" y="1143000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DAF4B78C-C0CD-4A1A-B02E-B7EC69E71A1E}"/>
            </a:ext>
          </a:extLst>
        </xdr:cNvPr>
        <xdr:cNvSpPr>
          <a:spLocks noChangeShapeType="1"/>
        </xdr:cNvSpPr>
      </xdr:nvSpPr>
      <xdr:spPr bwMode="auto">
        <a:xfrm>
          <a:off x="495300" y="1143000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55028874-3011-40B5-B0BC-F8406B72503A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49" name="Line 2">
          <a:extLst>
            <a:ext uri="{FF2B5EF4-FFF2-40B4-BE49-F238E27FC236}">
              <a16:creationId xmlns:a16="http://schemas.microsoft.com/office/drawing/2014/main" id="{A5ABBD6E-69A3-44AB-96D1-B4DCCCD30C86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D6C047DD-5003-4F5A-AE56-C68788CAE754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51" name="Line 2">
          <a:extLst>
            <a:ext uri="{FF2B5EF4-FFF2-40B4-BE49-F238E27FC236}">
              <a16:creationId xmlns:a16="http://schemas.microsoft.com/office/drawing/2014/main" id="{59D25664-502D-43C6-86B7-CF8A21B6D8C6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D603888A-5260-435F-B4E6-121A04BD952C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53" name="Line 2">
          <a:extLst>
            <a:ext uri="{FF2B5EF4-FFF2-40B4-BE49-F238E27FC236}">
              <a16:creationId xmlns:a16="http://schemas.microsoft.com/office/drawing/2014/main" id="{8C775989-0EA6-4A62-B99B-2360C4858314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509816D2-3CC1-493B-A5ED-14C3205896B7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55" name="Line 2">
          <a:extLst>
            <a:ext uri="{FF2B5EF4-FFF2-40B4-BE49-F238E27FC236}">
              <a16:creationId xmlns:a16="http://schemas.microsoft.com/office/drawing/2014/main" id="{C27030D5-544F-4121-87CE-A6AE596C9956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04342AAE-D731-419F-AF85-B5A9D98803AF}"/>
            </a:ext>
          </a:extLst>
        </xdr:cNvPr>
        <xdr:cNvSpPr>
          <a:spLocks noChangeShapeType="1"/>
        </xdr:cNvSpPr>
      </xdr:nvSpPr>
      <xdr:spPr bwMode="auto">
        <a:xfrm>
          <a:off x="495300" y="1143000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1085850</xdr:colOff>
      <xdr:row>7</xdr:row>
      <xdr:rowOff>0</xdr:rowOff>
    </xdr:to>
    <xdr:sp macro="" textlink="">
      <xdr:nvSpPr>
        <xdr:cNvPr id="157" name="Line 2">
          <a:extLst>
            <a:ext uri="{FF2B5EF4-FFF2-40B4-BE49-F238E27FC236}">
              <a16:creationId xmlns:a16="http://schemas.microsoft.com/office/drawing/2014/main" id="{3074A2FB-4846-4C4D-A72D-9DB20CE2699C}"/>
            </a:ext>
          </a:extLst>
        </xdr:cNvPr>
        <xdr:cNvSpPr>
          <a:spLocks noChangeShapeType="1"/>
        </xdr:cNvSpPr>
      </xdr:nvSpPr>
      <xdr:spPr bwMode="auto">
        <a:xfrm>
          <a:off x="485775" y="1143000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7904DFCD-E8A5-4519-A3BB-858D6ADCD030}"/>
            </a:ext>
          </a:extLst>
        </xdr:cNvPr>
        <xdr:cNvSpPr>
          <a:spLocks noChangeShapeType="1"/>
        </xdr:cNvSpPr>
      </xdr:nvSpPr>
      <xdr:spPr bwMode="auto">
        <a:xfrm>
          <a:off x="495300" y="1143000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13DDC6AE-9277-4338-BAE1-CFAE989FCC81}"/>
            </a:ext>
          </a:extLst>
        </xdr:cNvPr>
        <xdr:cNvSpPr>
          <a:spLocks noChangeShapeType="1"/>
        </xdr:cNvSpPr>
      </xdr:nvSpPr>
      <xdr:spPr bwMode="auto">
        <a:xfrm>
          <a:off x="495300" y="1143000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1085850</xdr:colOff>
      <xdr:row>7</xdr:row>
      <xdr:rowOff>0</xdr:rowOff>
    </xdr:to>
    <xdr:sp macro="" textlink="">
      <xdr:nvSpPr>
        <xdr:cNvPr id="160" name="Line 2">
          <a:extLst>
            <a:ext uri="{FF2B5EF4-FFF2-40B4-BE49-F238E27FC236}">
              <a16:creationId xmlns:a16="http://schemas.microsoft.com/office/drawing/2014/main" id="{EC107A3C-5293-4389-8DE2-57673C31DA1A}"/>
            </a:ext>
          </a:extLst>
        </xdr:cNvPr>
        <xdr:cNvSpPr>
          <a:spLocks noChangeShapeType="1"/>
        </xdr:cNvSpPr>
      </xdr:nvSpPr>
      <xdr:spPr bwMode="auto">
        <a:xfrm>
          <a:off x="485775" y="1143000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4F956CF9-553F-4467-AA6B-715B12D39011}"/>
            </a:ext>
          </a:extLst>
        </xdr:cNvPr>
        <xdr:cNvSpPr>
          <a:spLocks noChangeShapeType="1"/>
        </xdr:cNvSpPr>
      </xdr:nvSpPr>
      <xdr:spPr bwMode="auto">
        <a:xfrm>
          <a:off x="495300" y="1143000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1</xdr:col>
      <xdr:colOff>1085850</xdr:colOff>
      <xdr:row>21</xdr:row>
      <xdr:rowOff>0</xdr:rowOff>
    </xdr:to>
    <xdr:sp macro="" textlink="">
      <xdr:nvSpPr>
        <xdr:cNvPr id="162" name="Line 2">
          <a:extLst>
            <a:ext uri="{FF2B5EF4-FFF2-40B4-BE49-F238E27FC236}">
              <a16:creationId xmlns:a16="http://schemas.microsoft.com/office/drawing/2014/main" id="{9F2E1C00-CEAC-4949-AF37-25171BCD0EBA}"/>
            </a:ext>
          </a:extLst>
        </xdr:cNvPr>
        <xdr:cNvSpPr>
          <a:spLocks noChangeShapeType="1"/>
        </xdr:cNvSpPr>
      </xdr:nvSpPr>
      <xdr:spPr bwMode="auto">
        <a:xfrm>
          <a:off x="485775" y="4800600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B9F3A04C-197C-4BE6-92FC-4328F2DD6AFB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64" name="Line 2">
          <a:extLst>
            <a:ext uri="{FF2B5EF4-FFF2-40B4-BE49-F238E27FC236}">
              <a16:creationId xmlns:a16="http://schemas.microsoft.com/office/drawing/2014/main" id="{FD4BD626-2A52-4A20-85FE-A48B73A345D2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52604D0D-39A9-48DA-83C7-E43C10AAFEFA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66" name="Line 2">
          <a:extLst>
            <a:ext uri="{FF2B5EF4-FFF2-40B4-BE49-F238E27FC236}">
              <a16:creationId xmlns:a16="http://schemas.microsoft.com/office/drawing/2014/main" id="{95E2F730-7C99-4231-B421-F732D432E040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D37BDA8-C75F-423A-8B18-3441FC30281F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68" name="Line 2">
          <a:extLst>
            <a:ext uri="{FF2B5EF4-FFF2-40B4-BE49-F238E27FC236}">
              <a16:creationId xmlns:a16="http://schemas.microsoft.com/office/drawing/2014/main" id="{DB8CC45C-C10C-4404-A751-DCA4B81B4A49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ABD03A03-AC50-4778-A9F3-7997ABDB24A3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70" name="Line 2">
          <a:extLst>
            <a:ext uri="{FF2B5EF4-FFF2-40B4-BE49-F238E27FC236}">
              <a16:creationId xmlns:a16="http://schemas.microsoft.com/office/drawing/2014/main" id="{8BA04D36-46A3-4E8E-9AF8-E51B95109D89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71" name="Line 2">
          <a:extLst>
            <a:ext uri="{FF2B5EF4-FFF2-40B4-BE49-F238E27FC236}">
              <a16:creationId xmlns:a16="http://schemas.microsoft.com/office/drawing/2014/main" id="{F85D6B99-0528-4A4C-9092-F97359350198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192C4771-A282-4649-916E-C1C1BA62A1D4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73" name="Line 2">
          <a:extLst>
            <a:ext uri="{FF2B5EF4-FFF2-40B4-BE49-F238E27FC236}">
              <a16:creationId xmlns:a16="http://schemas.microsoft.com/office/drawing/2014/main" id="{39134E1F-D165-4A5E-BED7-1B20E7713986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789625DB-C419-483A-941B-F526900CC13E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75" name="Line 2">
          <a:extLst>
            <a:ext uri="{FF2B5EF4-FFF2-40B4-BE49-F238E27FC236}">
              <a16:creationId xmlns:a16="http://schemas.microsoft.com/office/drawing/2014/main" id="{D4989B45-4E57-4483-837E-B5538BB1317F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99CDED75-B0B3-4EFB-9752-4ADBEEE94F2C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77" name="Line 2">
          <a:extLst>
            <a:ext uri="{FF2B5EF4-FFF2-40B4-BE49-F238E27FC236}">
              <a16:creationId xmlns:a16="http://schemas.microsoft.com/office/drawing/2014/main" id="{EAE34791-5696-4941-A160-701BF20B47E6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2CF8B459-8A95-4313-959B-0881A12CAE19}"/>
            </a:ext>
          </a:extLst>
        </xdr:cNvPr>
        <xdr:cNvSpPr>
          <a:spLocks noChangeShapeType="1"/>
        </xdr:cNvSpPr>
      </xdr:nvSpPr>
      <xdr:spPr bwMode="auto">
        <a:xfrm>
          <a:off x="495300" y="8620125"/>
          <a:ext cx="5334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1085850</xdr:colOff>
      <xdr:row>35</xdr:row>
      <xdr:rowOff>0</xdr:rowOff>
    </xdr:to>
    <xdr:sp macro="" textlink="">
      <xdr:nvSpPr>
        <xdr:cNvPr id="179" name="Line 2">
          <a:extLst>
            <a:ext uri="{FF2B5EF4-FFF2-40B4-BE49-F238E27FC236}">
              <a16:creationId xmlns:a16="http://schemas.microsoft.com/office/drawing/2014/main" id="{81B2C1FA-5C08-47F9-B486-D719275A1BAE}"/>
            </a:ext>
          </a:extLst>
        </xdr:cNvPr>
        <xdr:cNvSpPr>
          <a:spLocks noChangeShapeType="1"/>
        </xdr:cNvSpPr>
      </xdr:nvSpPr>
      <xdr:spPr bwMode="auto">
        <a:xfrm>
          <a:off x="485775" y="8620125"/>
          <a:ext cx="5429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A&#268;NO%20DP%20MZO%20Privitak%201%20-%20Prijedlog%20financijskog%20plana_2023-2025_v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Unos prijenosa"/>
      <sheetName val="A.1 PRIHODI"/>
      <sheetName val="A.2 RASHODI"/>
      <sheetName val="A.3 RASHODI IF"/>
      <sheetName val="A.4 RASHODI FUNK"/>
      <sheetName val="B. RAČUN FIN"/>
      <sheetName val="AKT"/>
      <sheetName val="p4"/>
      <sheetName val="prihodi"/>
      <sheetName val="KORISNICI DP"/>
    </sheetNames>
    <sheetDataSet>
      <sheetData sheetId="0"/>
      <sheetData sheetId="1">
        <row r="3">
          <cell r="C3">
            <v>11</v>
          </cell>
          <cell r="H3">
            <v>15927</v>
          </cell>
          <cell r="L3" t="str">
            <v>67</v>
          </cell>
        </row>
        <row r="4">
          <cell r="C4">
            <v>11</v>
          </cell>
          <cell r="G4">
            <v>40978</v>
          </cell>
          <cell r="L4" t="str">
            <v>67</v>
          </cell>
        </row>
        <row r="5">
          <cell r="C5">
            <v>52</v>
          </cell>
          <cell r="G5">
            <v>53089</v>
          </cell>
          <cell r="H5">
            <v>53089</v>
          </cell>
          <cell r="I5">
            <v>53089</v>
          </cell>
          <cell r="L5" t="str">
            <v>63</v>
          </cell>
        </row>
        <row r="6">
          <cell r="C6">
            <v>11</v>
          </cell>
          <cell r="G6">
            <v>5800989</v>
          </cell>
          <cell r="H6">
            <v>5800989</v>
          </cell>
          <cell r="I6">
            <v>5800989</v>
          </cell>
          <cell r="L6" t="str">
            <v>67</v>
          </cell>
        </row>
        <row r="7">
          <cell r="C7">
            <v>52</v>
          </cell>
          <cell r="G7">
            <v>571050</v>
          </cell>
          <cell r="H7">
            <v>82296</v>
          </cell>
          <cell r="L7" t="str">
            <v>63</v>
          </cell>
        </row>
        <row r="8">
          <cell r="C8">
            <v>52</v>
          </cell>
          <cell r="G8">
            <v>65362</v>
          </cell>
          <cell r="H8">
            <v>139193</v>
          </cell>
          <cell r="I8">
            <v>24000</v>
          </cell>
          <cell r="L8" t="str">
            <v>63</v>
          </cell>
        </row>
        <row r="9">
          <cell r="C9">
            <v>51</v>
          </cell>
          <cell r="G9">
            <v>296859</v>
          </cell>
          <cell r="H9">
            <v>286111</v>
          </cell>
          <cell r="L9" t="str">
            <v>63</v>
          </cell>
        </row>
        <row r="10">
          <cell r="C10">
            <v>561</v>
          </cell>
          <cell r="G10">
            <v>208253</v>
          </cell>
          <cell r="H10">
            <v>7475</v>
          </cell>
          <cell r="L10" t="str">
            <v>63</v>
          </cell>
        </row>
        <row r="11">
          <cell r="C11">
            <v>563</v>
          </cell>
          <cell r="G11">
            <v>830762</v>
          </cell>
          <cell r="L11" t="str">
            <v>63</v>
          </cell>
        </row>
        <row r="12">
          <cell r="C12">
            <v>563</v>
          </cell>
          <cell r="G12">
            <v>1375287</v>
          </cell>
          <cell r="L12" t="str">
            <v>63</v>
          </cell>
        </row>
        <row r="13">
          <cell r="C13">
            <v>12</v>
          </cell>
          <cell r="G13">
            <v>36751</v>
          </cell>
          <cell r="H13">
            <v>1319</v>
          </cell>
          <cell r="L13" t="str">
            <v>67</v>
          </cell>
        </row>
        <row r="14">
          <cell r="C14">
            <v>52</v>
          </cell>
          <cell r="G14">
            <v>26712</v>
          </cell>
          <cell r="H14">
            <v>29287</v>
          </cell>
          <cell r="I14">
            <v>6824</v>
          </cell>
          <cell r="L14" t="str">
            <v>63</v>
          </cell>
        </row>
        <row r="15">
          <cell r="C15">
            <v>52</v>
          </cell>
          <cell r="G15">
            <v>28000</v>
          </cell>
          <cell r="H15">
            <v>28000</v>
          </cell>
          <cell r="I15">
            <v>28000</v>
          </cell>
          <cell r="L15" t="str">
            <v>63</v>
          </cell>
        </row>
        <row r="16">
          <cell r="C16">
            <v>61</v>
          </cell>
          <cell r="I16">
            <v>45456</v>
          </cell>
          <cell r="L16" t="str">
            <v>66</v>
          </cell>
        </row>
        <row r="17">
          <cell r="C17">
            <v>52</v>
          </cell>
          <cell r="G17">
            <v>33552</v>
          </cell>
          <cell r="H17">
            <v>31429</v>
          </cell>
          <cell r="I17">
            <v>18156</v>
          </cell>
          <cell r="L17" t="str">
            <v>63</v>
          </cell>
        </row>
        <row r="18">
          <cell r="C18">
            <v>11</v>
          </cell>
          <cell r="G18">
            <v>9291</v>
          </cell>
          <cell r="L18" t="str">
            <v>67</v>
          </cell>
        </row>
        <row r="19">
          <cell r="C19">
            <v>31</v>
          </cell>
          <cell r="G19">
            <v>926</v>
          </cell>
          <cell r="H19">
            <v>694</v>
          </cell>
          <cell r="I19">
            <v>694</v>
          </cell>
          <cell r="L19" t="str">
            <v>66</v>
          </cell>
        </row>
        <row r="20">
          <cell r="C20">
            <v>11</v>
          </cell>
          <cell r="G20">
            <v>225402</v>
          </cell>
          <cell r="H20">
            <v>232304</v>
          </cell>
          <cell r="I20">
            <v>232304</v>
          </cell>
          <cell r="L20" t="str">
            <v>67</v>
          </cell>
        </row>
        <row r="21">
          <cell r="C21">
            <v>11</v>
          </cell>
          <cell r="G21">
            <v>2103088</v>
          </cell>
          <cell r="H21">
            <v>2167484</v>
          </cell>
          <cell r="I21">
            <v>2167484</v>
          </cell>
          <cell r="L21" t="str">
            <v>67</v>
          </cell>
        </row>
        <row r="22">
          <cell r="C22">
            <v>52</v>
          </cell>
          <cell r="G22">
            <v>664</v>
          </cell>
          <cell r="H22">
            <v>664</v>
          </cell>
          <cell r="I22">
            <v>664</v>
          </cell>
          <cell r="L22" t="str">
            <v>63</v>
          </cell>
        </row>
        <row r="23">
          <cell r="C23">
            <v>52</v>
          </cell>
          <cell r="G23">
            <v>66144</v>
          </cell>
          <cell r="H23">
            <v>66144</v>
          </cell>
          <cell r="I23">
            <v>66144</v>
          </cell>
          <cell r="L23" t="str">
            <v>63</v>
          </cell>
        </row>
        <row r="24">
          <cell r="C24">
            <v>43</v>
          </cell>
          <cell r="G24">
            <v>92460</v>
          </cell>
          <cell r="H24">
            <v>87177</v>
          </cell>
          <cell r="I24">
            <v>87177</v>
          </cell>
          <cell r="L24" t="str">
            <v>65</v>
          </cell>
        </row>
        <row r="25">
          <cell r="C25">
            <v>31</v>
          </cell>
          <cell r="G25">
            <v>1327</v>
          </cell>
          <cell r="H25">
            <v>1327</v>
          </cell>
          <cell r="I25">
            <v>1327</v>
          </cell>
          <cell r="L25" t="str">
            <v>66</v>
          </cell>
        </row>
        <row r="26">
          <cell r="C26">
            <v>31</v>
          </cell>
          <cell r="G26">
            <v>290000</v>
          </cell>
          <cell r="H26">
            <v>290000</v>
          </cell>
          <cell r="I26">
            <v>290000</v>
          </cell>
          <cell r="L26" t="str">
            <v>66</v>
          </cell>
        </row>
        <row r="27">
          <cell r="C27">
            <v>43</v>
          </cell>
          <cell r="G27">
            <v>2720817</v>
          </cell>
          <cell r="H27">
            <v>2720817</v>
          </cell>
          <cell r="I27">
            <v>2720817</v>
          </cell>
          <cell r="L27" t="str">
            <v>65</v>
          </cell>
        </row>
        <row r="28">
          <cell r="C28" t="str">
            <v/>
          </cell>
          <cell r="L28" t="str">
            <v/>
          </cell>
        </row>
        <row r="29">
          <cell r="C29" t="str">
            <v/>
          </cell>
          <cell r="L29" t="str">
            <v/>
          </cell>
        </row>
        <row r="30">
          <cell r="C30" t="str">
            <v/>
          </cell>
          <cell r="L30" t="str">
            <v/>
          </cell>
        </row>
        <row r="31">
          <cell r="C31" t="str">
            <v/>
          </cell>
          <cell r="L31" t="str">
            <v/>
          </cell>
        </row>
        <row r="32">
          <cell r="C32" t="str">
            <v/>
          </cell>
          <cell r="L32" t="str">
            <v/>
          </cell>
        </row>
        <row r="33">
          <cell r="C33" t="str">
            <v/>
          </cell>
          <cell r="L33" t="str">
            <v/>
          </cell>
        </row>
        <row r="34">
          <cell r="C34" t="str">
            <v/>
          </cell>
          <cell r="L34" t="str">
            <v/>
          </cell>
        </row>
        <row r="35">
          <cell r="C35" t="str">
            <v/>
          </cell>
          <cell r="L35" t="str">
            <v/>
          </cell>
        </row>
        <row r="36">
          <cell r="C36" t="str">
            <v/>
          </cell>
          <cell r="L36" t="str">
            <v/>
          </cell>
        </row>
        <row r="37">
          <cell r="C37" t="str">
            <v/>
          </cell>
          <cell r="L37" t="str">
            <v/>
          </cell>
        </row>
        <row r="38">
          <cell r="C38" t="str">
            <v/>
          </cell>
          <cell r="L38" t="str">
            <v/>
          </cell>
        </row>
        <row r="39">
          <cell r="C39" t="str">
            <v/>
          </cell>
          <cell r="L39" t="str">
            <v/>
          </cell>
        </row>
        <row r="40">
          <cell r="C40" t="str">
            <v/>
          </cell>
          <cell r="L40" t="str">
            <v/>
          </cell>
        </row>
        <row r="41">
          <cell r="C41" t="str">
            <v/>
          </cell>
          <cell r="L41" t="str">
            <v/>
          </cell>
        </row>
        <row r="42">
          <cell r="C42" t="str">
            <v/>
          </cell>
          <cell r="L42" t="str">
            <v/>
          </cell>
        </row>
        <row r="43">
          <cell r="C43" t="str">
            <v/>
          </cell>
          <cell r="L43" t="str">
            <v/>
          </cell>
        </row>
        <row r="44">
          <cell r="C44" t="str">
            <v/>
          </cell>
          <cell r="L44" t="str">
            <v/>
          </cell>
        </row>
        <row r="45">
          <cell r="C45" t="str">
            <v/>
          </cell>
          <cell r="L45" t="str">
            <v/>
          </cell>
        </row>
        <row r="46">
          <cell r="C46" t="str">
            <v/>
          </cell>
          <cell r="L46" t="str">
            <v/>
          </cell>
        </row>
        <row r="47">
          <cell r="C47" t="str">
            <v/>
          </cell>
          <cell r="L47" t="str">
            <v/>
          </cell>
        </row>
        <row r="48">
          <cell r="C48" t="str">
            <v/>
          </cell>
          <cell r="L48" t="str">
            <v/>
          </cell>
        </row>
        <row r="49">
          <cell r="C49" t="str">
            <v/>
          </cell>
          <cell r="L49" t="str">
            <v/>
          </cell>
        </row>
        <row r="50">
          <cell r="C50" t="str">
            <v/>
          </cell>
          <cell r="L50" t="str">
            <v/>
          </cell>
        </row>
        <row r="51">
          <cell r="C51" t="str">
            <v/>
          </cell>
          <cell r="L51" t="str">
            <v/>
          </cell>
        </row>
        <row r="52">
          <cell r="C52" t="str">
            <v/>
          </cell>
          <cell r="L52" t="str">
            <v/>
          </cell>
        </row>
        <row r="53">
          <cell r="C53" t="str">
            <v/>
          </cell>
          <cell r="L53" t="str">
            <v/>
          </cell>
        </row>
        <row r="54">
          <cell r="C54" t="str">
            <v/>
          </cell>
          <cell r="L54" t="str">
            <v/>
          </cell>
        </row>
        <row r="55">
          <cell r="C55" t="str">
            <v/>
          </cell>
          <cell r="L55" t="str">
            <v/>
          </cell>
        </row>
        <row r="56">
          <cell r="C56" t="str">
            <v/>
          </cell>
          <cell r="L56" t="str">
            <v/>
          </cell>
        </row>
        <row r="57">
          <cell r="C57" t="str">
            <v/>
          </cell>
          <cell r="L57" t="str">
            <v/>
          </cell>
        </row>
        <row r="58">
          <cell r="C58" t="str">
            <v/>
          </cell>
          <cell r="L58" t="str">
            <v/>
          </cell>
        </row>
        <row r="59">
          <cell r="C59" t="str">
            <v/>
          </cell>
          <cell r="L59" t="str">
            <v/>
          </cell>
        </row>
        <row r="60">
          <cell r="C60" t="str">
            <v/>
          </cell>
          <cell r="L60" t="str">
            <v/>
          </cell>
        </row>
        <row r="61">
          <cell r="C61" t="str">
            <v/>
          </cell>
          <cell r="L61" t="str">
            <v/>
          </cell>
        </row>
        <row r="62">
          <cell r="C62" t="str">
            <v/>
          </cell>
          <cell r="L62" t="str">
            <v/>
          </cell>
        </row>
        <row r="63">
          <cell r="C63" t="str">
            <v/>
          </cell>
          <cell r="L63" t="str">
            <v/>
          </cell>
        </row>
        <row r="64">
          <cell r="C64" t="str">
            <v/>
          </cell>
          <cell r="L64" t="str">
            <v/>
          </cell>
        </row>
        <row r="65">
          <cell r="C65" t="str">
            <v/>
          </cell>
          <cell r="L65" t="str">
            <v/>
          </cell>
        </row>
        <row r="66">
          <cell r="C66" t="str">
            <v/>
          </cell>
          <cell r="L66" t="str">
            <v/>
          </cell>
        </row>
        <row r="67">
          <cell r="C67" t="str">
            <v/>
          </cell>
          <cell r="L67" t="str">
            <v/>
          </cell>
        </row>
        <row r="68">
          <cell r="C68" t="str">
            <v/>
          </cell>
          <cell r="L68" t="str">
            <v/>
          </cell>
        </row>
        <row r="69">
          <cell r="C69" t="str">
            <v/>
          </cell>
          <cell r="L69" t="str">
            <v/>
          </cell>
        </row>
        <row r="70">
          <cell r="C70" t="str">
            <v/>
          </cell>
          <cell r="L70" t="str">
            <v/>
          </cell>
        </row>
        <row r="71">
          <cell r="C71" t="str">
            <v/>
          </cell>
          <cell r="L71" t="str">
            <v/>
          </cell>
        </row>
        <row r="72">
          <cell r="C72" t="str">
            <v/>
          </cell>
          <cell r="L72" t="str">
            <v/>
          </cell>
        </row>
        <row r="73">
          <cell r="C73" t="str">
            <v/>
          </cell>
          <cell r="L73" t="str">
            <v/>
          </cell>
        </row>
        <row r="74">
          <cell r="C74" t="str">
            <v/>
          </cell>
          <cell r="L74" t="str">
            <v/>
          </cell>
        </row>
        <row r="75">
          <cell r="C75" t="str">
            <v/>
          </cell>
          <cell r="L75" t="str">
            <v/>
          </cell>
        </row>
        <row r="76">
          <cell r="C76" t="str">
            <v/>
          </cell>
          <cell r="L76" t="str">
            <v/>
          </cell>
        </row>
        <row r="77">
          <cell r="C77" t="str">
            <v/>
          </cell>
          <cell r="L77" t="str">
            <v/>
          </cell>
        </row>
        <row r="78">
          <cell r="C78" t="str">
            <v/>
          </cell>
          <cell r="L78" t="str">
            <v/>
          </cell>
        </row>
        <row r="79">
          <cell r="C79" t="str">
            <v/>
          </cell>
          <cell r="L79" t="str">
            <v/>
          </cell>
        </row>
        <row r="80">
          <cell r="C80" t="str">
            <v/>
          </cell>
          <cell r="L80" t="str">
            <v/>
          </cell>
        </row>
        <row r="81">
          <cell r="C81" t="str">
            <v/>
          </cell>
          <cell r="L81" t="str">
            <v/>
          </cell>
        </row>
        <row r="82">
          <cell r="C82" t="str">
            <v/>
          </cell>
          <cell r="L82" t="str">
            <v/>
          </cell>
        </row>
        <row r="83">
          <cell r="C83" t="str">
            <v/>
          </cell>
          <cell r="L83" t="str">
            <v/>
          </cell>
        </row>
        <row r="84">
          <cell r="C84" t="str">
            <v/>
          </cell>
          <cell r="L84" t="str">
            <v/>
          </cell>
        </row>
        <row r="85">
          <cell r="C85" t="str">
            <v/>
          </cell>
          <cell r="L85" t="str">
            <v/>
          </cell>
        </row>
        <row r="86">
          <cell r="C86" t="str">
            <v/>
          </cell>
          <cell r="L86" t="str">
            <v/>
          </cell>
        </row>
        <row r="87">
          <cell r="C87" t="str">
            <v/>
          </cell>
          <cell r="L87" t="str">
            <v/>
          </cell>
        </row>
        <row r="88">
          <cell r="C88" t="str">
            <v/>
          </cell>
          <cell r="L88" t="str">
            <v/>
          </cell>
        </row>
        <row r="89">
          <cell r="C89" t="str">
            <v/>
          </cell>
          <cell r="L89" t="str">
            <v/>
          </cell>
        </row>
        <row r="90">
          <cell r="C90" t="str">
            <v/>
          </cell>
          <cell r="L90" t="str">
            <v/>
          </cell>
        </row>
        <row r="91">
          <cell r="C91" t="str">
            <v/>
          </cell>
          <cell r="L91" t="str">
            <v/>
          </cell>
        </row>
        <row r="92">
          <cell r="C92" t="str">
            <v/>
          </cell>
          <cell r="L92" t="str">
            <v/>
          </cell>
        </row>
        <row r="93">
          <cell r="C93" t="str">
            <v/>
          </cell>
          <cell r="L93" t="str">
            <v/>
          </cell>
        </row>
        <row r="94">
          <cell r="C94" t="str">
            <v/>
          </cell>
          <cell r="L94" t="str">
            <v/>
          </cell>
        </row>
        <row r="95">
          <cell r="C95" t="str">
            <v/>
          </cell>
          <cell r="L95" t="str">
            <v/>
          </cell>
        </row>
        <row r="96">
          <cell r="C96" t="str">
            <v/>
          </cell>
          <cell r="L96" t="str">
            <v/>
          </cell>
        </row>
        <row r="97">
          <cell r="C97" t="str">
            <v/>
          </cell>
          <cell r="L97" t="str">
            <v/>
          </cell>
        </row>
        <row r="98">
          <cell r="C98" t="str">
            <v/>
          </cell>
          <cell r="L98" t="str">
            <v/>
          </cell>
        </row>
        <row r="99">
          <cell r="C99" t="str">
            <v/>
          </cell>
          <cell r="L99" t="str">
            <v/>
          </cell>
        </row>
        <row r="100">
          <cell r="C100" t="str">
            <v/>
          </cell>
          <cell r="L100" t="str">
            <v/>
          </cell>
        </row>
        <row r="101">
          <cell r="C101" t="str">
            <v/>
          </cell>
          <cell r="L101" t="str">
            <v/>
          </cell>
        </row>
        <row r="102">
          <cell r="C102" t="str">
            <v/>
          </cell>
          <cell r="L102" t="str">
            <v/>
          </cell>
        </row>
        <row r="103">
          <cell r="C103" t="str">
            <v/>
          </cell>
          <cell r="L103" t="str">
            <v/>
          </cell>
        </row>
        <row r="104">
          <cell r="C104" t="str">
            <v/>
          </cell>
          <cell r="L104" t="str">
            <v/>
          </cell>
        </row>
        <row r="105">
          <cell r="C105" t="str">
            <v/>
          </cell>
          <cell r="L105" t="str">
            <v/>
          </cell>
        </row>
        <row r="106">
          <cell r="C106" t="str">
            <v/>
          </cell>
          <cell r="L106" t="str">
            <v/>
          </cell>
        </row>
        <row r="107">
          <cell r="C107" t="str">
            <v/>
          </cell>
          <cell r="L107" t="str">
            <v/>
          </cell>
        </row>
        <row r="108">
          <cell r="C108" t="str">
            <v/>
          </cell>
          <cell r="L108" t="str">
            <v/>
          </cell>
        </row>
        <row r="109">
          <cell r="C109" t="str">
            <v/>
          </cell>
          <cell r="L109" t="str">
            <v/>
          </cell>
        </row>
        <row r="110">
          <cell r="C110" t="str">
            <v/>
          </cell>
          <cell r="L110" t="str">
            <v/>
          </cell>
        </row>
        <row r="111">
          <cell r="C111" t="str">
            <v/>
          </cell>
          <cell r="L111" t="str">
            <v/>
          </cell>
        </row>
        <row r="112">
          <cell r="C112" t="str">
            <v/>
          </cell>
          <cell r="L112" t="str">
            <v/>
          </cell>
        </row>
        <row r="113">
          <cell r="C113" t="str">
            <v/>
          </cell>
          <cell r="L113" t="str">
            <v/>
          </cell>
        </row>
        <row r="114">
          <cell r="C114" t="str">
            <v/>
          </cell>
          <cell r="L114" t="str">
            <v/>
          </cell>
        </row>
        <row r="115">
          <cell r="C115" t="str">
            <v/>
          </cell>
          <cell r="L115" t="str">
            <v/>
          </cell>
        </row>
        <row r="116">
          <cell r="C116" t="str">
            <v/>
          </cell>
          <cell r="L116" t="str">
            <v/>
          </cell>
        </row>
        <row r="117">
          <cell r="C117" t="str">
            <v/>
          </cell>
          <cell r="L117" t="str">
            <v/>
          </cell>
        </row>
        <row r="118">
          <cell r="C118" t="str">
            <v/>
          </cell>
          <cell r="L118" t="str">
            <v/>
          </cell>
        </row>
        <row r="119">
          <cell r="C119" t="str">
            <v/>
          </cell>
          <cell r="L119" t="str">
            <v/>
          </cell>
        </row>
        <row r="120">
          <cell r="C120" t="str">
            <v/>
          </cell>
          <cell r="L120" t="str">
            <v/>
          </cell>
        </row>
        <row r="121">
          <cell r="C121" t="str">
            <v/>
          </cell>
          <cell r="L121" t="str">
            <v/>
          </cell>
        </row>
        <row r="122">
          <cell r="C122" t="str">
            <v/>
          </cell>
          <cell r="L122" t="str">
            <v/>
          </cell>
        </row>
        <row r="123">
          <cell r="C123" t="str">
            <v/>
          </cell>
          <cell r="L123" t="str">
            <v/>
          </cell>
        </row>
        <row r="124">
          <cell r="C124" t="str">
            <v/>
          </cell>
          <cell r="L124" t="str">
            <v/>
          </cell>
        </row>
        <row r="125">
          <cell r="C125" t="str">
            <v/>
          </cell>
          <cell r="L125" t="str">
            <v/>
          </cell>
        </row>
        <row r="126">
          <cell r="C126" t="str">
            <v/>
          </cell>
          <cell r="L126" t="str">
            <v/>
          </cell>
        </row>
        <row r="127">
          <cell r="C127" t="str">
            <v/>
          </cell>
          <cell r="L127" t="str">
            <v/>
          </cell>
        </row>
        <row r="128">
          <cell r="C128" t="str">
            <v/>
          </cell>
          <cell r="L128" t="str">
            <v/>
          </cell>
        </row>
        <row r="129">
          <cell r="C129" t="str">
            <v/>
          </cell>
          <cell r="L129" t="str">
            <v/>
          </cell>
        </row>
        <row r="130">
          <cell r="C130" t="str">
            <v/>
          </cell>
          <cell r="L130" t="str">
            <v/>
          </cell>
        </row>
        <row r="131">
          <cell r="C131" t="str">
            <v/>
          </cell>
          <cell r="L131" t="str">
            <v/>
          </cell>
        </row>
        <row r="132">
          <cell r="C132" t="str">
            <v/>
          </cell>
          <cell r="L132" t="str">
            <v/>
          </cell>
        </row>
        <row r="133">
          <cell r="C133" t="str">
            <v/>
          </cell>
          <cell r="L133" t="str">
            <v/>
          </cell>
        </row>
        <row r="134">
          <cell r="C134" t="str">
            <v/>
          </cell>
          <cell r="L134" t="str">
            <v/>
          </cell>
        </row>
        <row r="135">
          <cell r="C135" t="str">
            <v/>
          </cell>
          <cell r="L135" t="str">
            <v/>
          </cell>
        </row>
        <row r="136">
          <cell r="C136" t="str">
            <v/>
          </cell>
          <cell r="L136" t="str">
            <v/>
          </cell>
        </row>
        <row r="137">
          <cell r="C137" t="str">
            <v/>
          </cell>
          <cell r="L137" t="str">
            <v/>
          </cell>
        </row>
        <row r="138">
          <cell r="C138" t="str">
            <v/>
          </cell>
          <cell r="L138" t="str">
            <v/>
          </cell>
        </row>
        <row r="139">
          <cell r="C139" t="str">
            <v/>
          </cell>
          <cell r="L139" t="str">
            <v/>
          </cell>
        </row>
        <row r="140">
          <cell r="C140" t="str">
            <v/>
          </cell>
          <cell r="L140" t="str">
            <v/>
          </cell>
        </row>
        <row r="141">
          <cell r="C141" t="str">
            <v/>
          </cell>
          <cell r="L141" t="str">
            <v/>
          </cell>
        </row>
        <row r="142">
          <cell r="C142" t="str">
            <v/>
          </cell>
          <cell r="L142" t="str">
            <v/>
          </cell>
        </row>
        <row r="143">
          <cell r="C143" t="str">
            <v/>
          </cell>
          <cell r="L143" t="str">
            <v/>
          </cell>
        </row>
        <row r="144">
          <cell r="C144" t="str">
            <v/>
          </cell>
          <cell r="L144" t="str">
            <v/>
          </cell>
        </row>
        <row r="145">
          <cell r="C145" t="str">
            <v/>
          </cell>
          <cell r="L145" t="str">
            <v/>
          </cell>
        </row>
        <row r="146">
          <cell r="C146" t="str">
            <v/>
          </cell>
          <cell r="L146" t="str">
            <v/>
          </cell>
        </row>
        <row r="147">
          <cell r="C147" t="str">
            <v/>
          </cell>
          <cell r="L147" t="str">
            <v/>
          </cell>
        </row>
        <row r="148">
          <cell r="C148" t="str">
            <v/>
          </cell>
          <cell r="L148" t="str">
            <v/>
          </cell>
        </row>
        <row r="149">
          <cell r="C149" t="str">
            <v/>
          </cell>
          <cell r="L149" t="str">
            <v/>
          </cell>
        </row>
        <row r="150">
          <cell r="C150" t="str">
            <v/>
          </cell>
          <cell r="L150" t="str">
            <v/>
          </cell>
        </row>
        <row r="151">
          <cell r="C151" t="str">
            <v/>
          </cell>
          <cell r="L151" t="str">
            <v/>
          </cell>
        </row>
        <row r="152">
          <cell r="C152" t="str">
            <v/>
          </cell>
          <cell r="L152" t="str">
            <v/>
          </cell>
        </row>
        <row r="153">
          <cell r="C153" t="str">
            <v/>
          </cell>
          <cell r="L153" t="str">
            <v/>
          </cell>
        </row>
        <row r="154">
          <cell r="C154" t="str">
            <v/>
          </cell>
          <cell r="L154" t="str">
            <v/>
          </cell>
        </row>
        <row r="155">
          <cell r="C155" t="str">
            <v/>
          </cell>
          <cell r="L155" t="str">
            <v/>
          </cell>
        </row>
        <row r="156">
          <cell r="C156" t="str">
            <v/>
          </cell>
          <cell r="L156" t="str">
            <v/>
          </cell>
        </row>
        <row r="157">
          <cell r="C157" t="str">
            <v/>
          </cell>
          <cell r="L157" t="str">
            <v/>
          </cell>
        </row>
        <row r="158">
          <cell r="C158" t="str">
            <v/>
          </cell>
          <cell r="L158" t="str">
            <v/>
          </cell>
        </row>
        <row r="159">
          <cell r="C159" t="str">
            <v/>
          </cell>
          <cell r="L159" t="str">
            <v/>
          </cell>
        </row>
        <row r="160">
          <cell r="C160" t="str">
            <v/>
          </cell>
          <cell r="L160" t="str">
            <v/>
          </cell>
        </row>
        <row r="161">
          <cell r="C161" t="str">
            <v/>
          </cell>
          <cell r="L161" t="str">
            <v/>
          </cell>
        </row>
        <row r="162">
          <cell r="C162" t="str">
            <v/>
          </cell>
          <cell r="L162" t="str">
            <v/>
          </cell>
        </row>
        <row r="163">
          <cell r="C163" t="str">
            <v/>
          </cell>
          <cell r="L163" t="str">
            <v/>
          </cell>
        </row>
        <row r="164">
          <cell r="C164" t="str">
            <v/>
          </cell>
          <cell r="L164" t="str">
            <v/>
          </cell>
        </row>
        <row r="165">
          <cell r="C165" t="str">
            <v/>
          </cell>
          <cell r="L165" t="str">
            <v/>
          </cell>
        </row>
        <row r="166">
          <cell r="C166" t="str">
            <v/>
          </cell>
          <cell r="L166" t="str">
            <v/>
          </cell>
        </row>
        <row r="167">
          <cell r="C167" t="str">
            <v/>
          </cell>
          <cell r="L167" t="str">
            <v/>
          </cell>
        </row>
        <row r="168">
          <cell r="C168" t="str">
            <v/>
          </cell>
          <cell r="L168" t="str">
            <v/>
          </cell>
        </row>
        <row r="169">
          <cell r="C169" t="str">
            <v/>
          </cell>
          <cell r="L169" t="str">
            <v/>
          </cell>
        </row>
        <row r="170">
          <cell r="C170" t="str">
            <v/>
          </cell>
          <cell r="L170" t="str">
            <v/>
          </cell>
        </row>
        <row r="171">
          <cell r="C171" t="str">
            <v/>
          </cell>
          <cell r="L171" t="str">
            <v/>
          </cell>
        </row>
        <row r="172">
          <cell r="C172" t="str">
            <v/>
          </cell>
          <cell r="L172" t="str">
            <v/>
          </cell>
        </row>
        <row r="173">
          <cell r="C173" t="str">
            <v/>
          </cell>
          <cell r="L173" t="str">
            <v/>
          </cell>
        </row>
        <row r="174">
          <cell r="C174" t="str">
            <v/>
          </cell>
          <cell r="L174" t="str">
            <v/>
          </cell>
        </row>
        <row r="175">
          <cell r="C175" t="str">
            <v/>
          </cell>
          <cell r="L175" t="str">
            <v/>
          </cell>
        </row>
        <row r="176">
          <cell r="C176" t="str">
            <v/>
          </cell>
          <cell r="L176" t="str">
            <v/>
          </cell>
        </row>
        <row r="177">
          <cell r="C177" t="str">
            <v/>
          </cell>
          <cell r="L177" t="str">
            <v/>
          </cell>
        </row>
        <row r="178">
          <cell r="C178" t="str">
            <v/>
          </cell>
          <cell r="L178" t="str">
            <v/>
          </cell>
        </row>
        <row r="179">
          <cell r="C179" t="str">
            <v/>
          </cell>
          <cell r="L179" t="str">
            <v/>
          </cell>
        </row>
        <row r="180">
          <cell r="C180" t="str">
            <v/>
          </cell>
          <cell r="L180" t="str">
            <v/>
          </cell>
        </row>
        <row r="181">
          <cell r="C181" t="str">
            <v/>
          </cell>
          <cell r="L181" t="str">
            <v/>
          </cell>
        </row>
        <row r="182">
          <cell r="C182" t="str">
            <v/>
          </cell>
          <cell r="L182" t="str">
            <v/>
          </cell>
        </row>
        <row r="183">
          <cell r="C183" t="str">
            <v/>
          </cell>
          <cell r="L183" t="str">
            <v/>
          </cell>
        </row>
        <row r="184">
          <cell r="C184" t="str">
            <v/>
          </cell>
          <cell r="L184" t="str">
            <v/>
          </cell>
        </row>
        <row r="185">
          <cell r="C185" t="str">
            <v/>
          </cell>
          <cell r="L185" t="str">
            <v/>
          </cell>
        </row>
        <row r="186">
          <cell r="C186" t="str">
            <v/>
          </cell>
          <cell r="L186" t="str">
            <v/>
          </cell>
        </row>
        <row r="187">
          <cell r="C187" t="str">
            <v/>
          </cell>
          <cell r="L187" t="str">
            <v/>
          </cell>
        </row>
        <row r="188">
          <cell r="C188" t="str">
            <v/>
          </cell>
          <cell r="L188" t="str">
            <v/>
          </cell>
        </row>
        <row r="189">
          <cell r="C189" t="str">
            <v/>
          </cell>
          <cell r="L189" t="str">
            <v/>
          </cell>
        </row>
        <row r="190">
          <cell r="C190" t="str">
            <v/>
          </cell>
          <cell r="L190" t="str">
            <v/>
          </cell>
        </row>
        <row r="191">
          <cell r="C191" t="str">
            <v/>
          </cell>
          <cell r="L191" t="str">
            <v/>
          </cell>
        </row>
        <row r="192">
          <cell r="C192" t="str">
            <v/>
          </cell>
          <cell r="L192" t="str">
            <v/>
          </cell>
        </row>
        <row r="193">
          <cell r="C193" t="str">
            <v/>
          </cell>
          <cell r="L193" t="str">
            <v/>
          </cell>
        </row>
        <row r="194">
          <cell r="C194" t="str">
            <v/>
          </cell>
          <cell r="L194" t="str">
            <v/>
          </cell>
        </row>
        <row r="195">
          <cell r="C195" t="str">
            <v/>
          </cell>
          <cell r="L195" t="str">
            <v/>
          </cell>
        </row>
        <row r="196">
          <cell r="C196" t="str">
            <v/>
          </cell>
          <cell r="L196" t="str">
            <v/>
          </cell>
        </row>
        <row r="197">
          <cell r="C197" t="str">
            <v/>
          </cell>
          <cell r="L197" t="str">
            <v/>
          </cell>
        </row>
        <row r="198">
          <cell r="C198" t="str">
            <v/>
          </cell>
          <cell r="L198" t="str">
            <v/>
          </cell>
        </row>
        <row r="199">
          <cell r="C199" t="str">
            <v/>
          </cell>
          <cell r="L199" t="str">
            <v/>
          </cell>
        </row>
        <row r="200">
          <cell r="C200" t="str">
            <v/>
          </cell>
          <cell r="L200" t="str">
            <v/>
          </cell>
        </row>
        <row r="201">
          <cell r="C201" t="str">
            <v/>
          </cell>
          <cell r="L201" t="str">
            <v/>
          </cell>
        </row>
        <row r="202">
          <cell r="C202" t="str">
            <v/>
          </cell>
          <cell r="L202" t="str">
            <v/>
          </cell>
        </row>
        <row r="203">
          <cell r="C203" t="str">
            <v/>
          </cell>
          <cell r="L203" t="str">
            <v/>
          </cell>
        </row>
        <row r="204">
          <cell r="C204" t="str">
            <v/>
          </cell>
          <cell r="L204" t="str">
            <v/>
          </cell>
        </row>
        <row r="205">
          <cell r="C205" t="str">
            <v/>
          </cell>
          <cell r="L205" t="str">
            <v/>
          </cell>
        </row>
        <row r="206">
          <cell r="C206" t="str">
            <v/>
          </cell>
          <cell r="L206" t="str">
            <v/>
          </cell>
        </row>
        <row r="207">
          <cell r="C207" t="str">
            <v/>
          </cell>
          <cell r="L207" t="str">
            <v/>
          </cell>
        </row>
        <row r="208">
          <cell r="C208" t="str">
            <v/>
          </cell>
          <cell r="L208" t="str">
            <v/>
          </cell>
        </row>
        <row r="209">
          <cell r="C209" t="str">
            <v/>
          </cell>
          <cell r="L209" t="str">
            <v/>
          </cell>
        </row>
        <row r="210">
          <cell r="C210" t="str">
            <v/>
          </cell>
          <cell r="L210" t="str">
            <v/>
          </cell>
        </row>
        <row r="211">
          <cell r="C211" t="str">
            <v/>
          </cell>
          <cell r="L211" t="str">
            <v/>
          </cell>
        </row>
        <row r="212">
          <cell r="C212" t="str">
            <v/>
          </cell>
          <cell r="L212" t="str">
            <v/>
          </cell>
        </row>
        <row r="213">
          <cell r="C213" t="str">
            <v/>
          </cell>
          <cell r="L213" t="str">
            <v/>
          </cell>
        </row>
        <row r="214">
          <cell r="C214" t="str">
            <v/>
          </cell>
          <cell r="L214" t="str">
            <v/>
          </cell>
        </row>
        <row r="215">
          <cell r="C215" t="str">
            <v/>
          </cell>
          <cell r="L215" t="str">
            <v/>
          </cell>
        </row>
        <row r="216">
          <cell r="C216" t="str">
            <v/>
          </cell>
          <cell r="L216" t="str">
            <v/>
          </cell>
        </row>
        <row r="217">
          <cell r="C217" t="str">
            <v/>
          </cell>
          <cell r="L217" t="str">
            <v/>
          </cell>
        </row>
        <row r="218">
          <cell r="C218" t="str">
            <v/>
          </cell>
          <cell r="L218" t="str">
            <v/>
          </cell>
        </row>
        <row r="219">
          <cell r="C219" t="str">
            <v/>
          </cell>
          <cell r="L219" t="str">
            <v/>
          </cell>
        </row>
        <row r="220">
          <cell r="C220" t="str">
            <v/>
          </cell>
          <cell r="L220" t="str">
            <v/>
          </cell>
        </row>
        <row r="221">
          <cell r="C221" t="str">
            <v/>
          </cell>
          <cell r="L221" t="str">
            <v/>
          </cell>
        </row>
        <row r="222">
          <cell r="C222" t="str">
            <v/>
          </cell>
          <cell r="L222" t="str">
            <v/>
          </cell>
        </row>
        <row r="223">
          <cell r="C223" t="str">
            <v/>
          </cell>
          <cell r="L223" t="str">
            <v/>
          </cell>
        </row>
        <row r="224">
          <cell r="C224" t="str">
            <v/>
          </cell>
          <cell r="L224" t="str">
            <v/>
          </cell>
        </row>
        <row r="225">
          <cell r="C225" t="str">
            <v/>
          </cell>
          <cell r="L225" t="str">
            <v/>
          </cell>
        </row>
        <row r="226">
          <cell r="C226" t="str">
            <v/>
          </cell>
          <cell r="L226" t="str">
            <v/>
          </cell>
        </row>
        <row r="227">
          <cell r="C227" t="str">
            <v/>
          </cell>
          <cell r="L227" t="str">
            <v/>
          </cell>
        </row>
        <row r="228">
          <cell r="C228" t="str">
            <v/>
          </cell>
          <cell r="L228" t="str">
            <v/>
          </cell>
        </row>
        <row r="229">
          <cell r="C229" t="str">
            <v/>
          </cell>
          <cell r="L229" t="str">
            <v/>
          </cell>
        </row>
        <row r="230">
          <cell r="C230" t="str">
            <v/>
          </cell>
          <cell r="L230" t="str">
            <v/>
          </cell>
        </row>
        <row r="231">
          <cell r="C231" t="str">
            <v/>
          </cell>
          <cell r="L231" t="str">
            <v/>
          </cell>
        </row>
        <row r="232">
          <cell r="C232" t="str">
            <v/>
          </cell>
          <cell r="L232" t="str">
            <v/>
          </cell>
        </row>
        <row r="233">
          <cell r="C233" t="str">
            <v/>
          </cell>
          <cell r="L233" t="str">
            <v/>
          </cell>
        </row>
        <row r="234">
          <cell r="C234" t="str">
            <v/>
          </cell>
          <cell r="L234" t="str">
            <v/>
          </cell>
        </row>
        <row r="235">
          <cell r="C235" t="str">
            <v/>
          </cell>
          <cell r="L235" t="str">
            <v/>
          </cell>
        </row>
        <row r="236">
          <cell r="C236" t="str">
            <v/>
          </cell>
          <cell r="L236" t="str">
            <v/>
          </cell>
        </row>
        <row r="237">
          <cell r="C237" t="str">
            <v/>
          </cell>
          <cell r="L237" t="str">
            <v/>
          </cell>
        </row>
        <row r="238">
          <cell r="C238" t="str">
            <v/>
          </cell>
          <cell r="L238" t="str">
            <v/>
          </cell>
        </row>
        <row r="239">
          <cell r="C239" t="str">
            <v/>
          </cell>
          <cell r="L239" t="str">
            <v/>
          </cell>
        </row>
        <row r="240">
          <cell r="C240" t="str">
            <v/>
          </cell>
          <cell r="L240" t="str">
            <v/>
          </cell>
        </row>
        <row r="241">
          <cell r="C241" t="str">
            <v/>
          </cell>
          <cell r="L241" t="str">
            <v/>
          </cell>
        </row>
        <row r="242">
          <cell r="C242" t="str">
            <v/>
          </cell>
          <cell r="L242" t="str">
            <v/>
          </cell>
        </row>
        <row r="243">
          <cell r="C243" t="str">
            <v/>
          </cell>
          <cell r="L243" t="str">
            <v/>
          </cell>
        </row>
        <row r="244">
          <cell r="C244" t="str">
            <v/>
          </cell>
          <cell r="L244" t="str">
            <v/>
          </cell>
        </row>
        <row r="245">
          <cell r="C245" t="str">
            <v/>
          </cell>
          <cell r="L245" t="str">
            <v/>
          </cell>
        </row>
        <row r="246">
          <cell r="C246" t="str">
            <v/>
          </cell>
          <cell r="L246" t="str">
            <v/>
          </cell>
        </row>
        <row r="247">
          <cell r="C247" t="str">
            <v/>
          </cell>
          <cell r="L247" t="str">
            <v/>
          </cell>
        </row>
        <row r="248">
          <cell r="C248" t="str">
            <v/>
          </cell>
          <cell r="L248" t="str">
            <v/>
          </cell>
        </row>
        <row r="249">
          <cell r="C249" t="str">
            <v/>
          </cell>
          <cell r="L249" t="str">
            <v/>
          </cell>
        </row>
        <row r="250">
          <cell r="C250" t="str">
            <v/>
          </cell>
          <cell r="L250" t="str">
            <v/>
          </cell>
        </row>
        <row r="251">
          <cell r="C251" t="str">
            <v/>
          </cell>
          <cell r="L251" t="str">
            <v/>
          </cell>
        </row>
        <row r="252">
          <cell r="C252" t="str">
            <v/>
          </cell>
          <cell r="L252" t="str">
            <v/>
          </cell>
        </row>
        <row r="253">
          <cell r="C253" t="str">
            <v/>
          </cell>
          <cell r="L253" t="str">
            <v/>
          </cell>
        </row>
        <row r="254">
          <cell r="C254" t="str">
            <v/>
          </cell>
          <cell r="L254" t="str">
            <v/>
          </cell>
        </row>
        <row r="255">
          <cell r="C255" t="str">
            <v/>
          </cell>
          <cell r="L255" t="str">
            <v/>
          </cell>
        </row>
        <row r="256">
          <cell r="C256" t="str">
            <v/>
          </cell>
          <cell r="L256" t="str">
            <v/>
          </cell>
        </row>
        <row r="257">
          <cell r="C257" t="str">
            <v/>
          </cell>
          <cell r="L257" t="str">
            <v/>
          </cell>
        </row>
        <row r="258">
          <cell r="C258" t="str">
            <v/>
          </cell>
          <cell r="L258" t="str">
            <v/>
          </cell>
        </row>
        <row r="259">
          <cell r="C259" t="str">
            <v/>
          </cell>
          <cell r="L259" t="str">
            <v/>
          </cell>
        </row>
        <row r="260">
          <cell r="C260" t="str">
            <v/>
          </cell>
          <cell r="L260" t="str">
            <v/>
          </cell>
        </row>
        <row r="261">
          <cell r="C261" t="str">
            <v/>
          </cell>
          <cell r="L261" t="str">
            <v/>
          </cell>
        </row>
        <row r="262">
          <cell r="C262" t="str">
            <v/>
          </cell>
          <cell r="L262" t="str">
            <v/>
          </cell>
        </row>
        <row r="263">
          <cell r="C263" t="str">
            <v/>
          </cell>
          <cell r="L263" t="str">
            <v/>
          </cell>
        </row>
        <row r="264">
          <cell r="C264" t="str">
            <v/>
          </cell>
          <cell r="L264" t="str">
            <v/>
          </cell>
        </row>
        <row r="265">
          <cell r="C265" t="str">
            <v/>
          </cell>
          <cell r="L265" t="str">
            <v/>
          </cell>
        </row>
        <row r="266">
          <cell r="C266" t="str">
            <v/>
          </cell>
          <cell r="L266" t="str">
            <v/>
          </cell>
        </row>
        <row r="267">
          <cell r="C267" t="str">
            <v/>
          </cell>
          <cell r="L267" t="str">
            <v/>
          </cell>
        </row>
        <row r="268">
          <cell r="C268" t="str">
            <v/>
          </cell>
          <cell r="L268" t="str">
            <v/>
          </cell>
        </row>
        <row r="269">
          <cell r="C269" t="str">
            <v/>
          </cell>
          <cell r="L269" t="str">
            <v/>
          </cell>
        </row>
        <row r="270">
          <cell r="C270" t="str">
            <v/>
          </cell>
          <cell r="L270" t="str">
            <v/>
          </cell>
        </row>
        <row r="271">
          <cell r="C271" t="str">
            <v/>
          </cell>
          <cell r="L271" t="str">
            <v/>
          </cell>
        </row>
        <row r="272">
          <cell r="C272" t="str">
            <v/>
          </cell>
          <cell r="L272" t="str">
            <v/>
          </cell>
        </row>
        <row r="273">
          <cell r="C273" t="str">
            <v/>
          </cell>
          <cell r="L273" t="str">
            <v/>
          </cell>
        </row>
        <row r="274">
          <cell r="C274" t="str">
            <v/>
          </cell>
          <cell r="L274" t="str">
            <v/>
          </cell>
        </row>
        <row r="275">
          <cell r="C275" t="str">
            <v/>
          </cell>
          <cell r="L275" t="str">
            <v/>
          </cell>
        </row>
        <row r="276">
          <cell r="C276" t="str">
            <v/>
          </cell>
          <cell r="L276" t="str">
            <v/>
          </cell>
        </row>
        <row r="277">
          <cell r="C277" t="str">
            <v/>
          </cell>
          <cell r="L277" t="str">
            <v/>
          </cell>
        </row>
        <row r="278">
          <cell r="C278" t="str">
            <v/>
          </cell>
          <cell r="L278" t="str">
            <v/>
          </cell>
        </row>
        <row r="279">
          <cell r="C279" t="str">
            <v/>
          </cell>
          <cell r="L279" t="str">
            <v/>
          </cell>
        </row>
        <row r="280">
          <cell r="C280" t="str">
            <v/>
          </cell>
          <cell r="L280" t="str">
            <v/>
          </cell>
        </row>
        <row r="281">
          <cell r="C281" t="str">
            <v/>
          </cell>
          <cell r="L281" t="str">
            <v/>
          </cell>
        </row>
        <row r="282">
          <cell r="C282" t="str">
            <v/>
          </cell>
          <cell r="L282" t="str">
            <v/>
          </cell>
        </row>
        <row r="283">
          <cell r="C283" t="str">
            <v/>
          </cell>
          <cell r="L283" t="str">
            <v/>
          </cell>
        </row>
        <row r="284">
          <cell r="C284" t="str">
            <v/>
          </cell>
          <cell r="L284" t="str">
            <v/>
          </cell>
        </row>
        <row r="285">
          <cell r="C285" t="str">
            <v/>
          </cell>
          <cell r="L285" t="str">
            <v/>
          </cell>
        </row>
        <row r="286">
          <cell r="C286" t="str">
            <v/>
          </cell>
          <cell r="L286" t="str">
            <v/>
          </cell>
        </row>
        <row r="287">
          <cell r="C287" t="str">
            <v/>
          </cell>
          <cell r="L287" t="str">
            <v/>
          </cell>
        </row>
        <row r="288">
          <cell r="C288" t="str">
            <v/>
          </cell>
          <cell r="L288" t="str">
            <v/>
          </cell>
        </row>
        <row r="289">
          <cell r="C289" t="str">
            <v/>
          </cell>
          <cell r="L289" t="str">
            <v/>
          </cell>
        </row>
        <row r="290">
          <cell r="C290" t="str">
            <v/>
          </cell>
          <cell r="L290" t="str">
            <v/>
          </cell>
        </row>
        <row r="291">
          <cell r="C291" t="str">
            <v/>
          </cell>
          <cell r="L291" t="str">
            <v/>
          </cell>
        </row>
        <row r="292">
          <cell r="C292" t="str">
            <v/>
          </cell>
          <cell r="L292" t="str">
            <v/>
          </cell>
        </row>
        <row r="293">
          <cell r="C293" t="str">
            <v/>
          </cell>
          <cell r="L293" t="str">
            <v/>
          </cell>
        </row>
        <row r="294">
          <cell r="C294" t="str">
            <v/>
          </cell>
          <cell r="L294" t="str">
            <v/>
          </cell>
        </row>
        <row r="295">
          <cell r="C295" t="str">
            <v/>
          </cell>
          <cell r="L295" t="str">
            <v/>
          </cell>
        </row>
        <row r="296">
          <cell r="C296" t="str">
            <v/>
          </cell>
          <cell r="L296" t="str">
            <v/>
          </cell>
        </row>
        <row r="297">
          <cell r="C297" t="str">
            <v/>
          </cell>
          <cell r="L297" t="str">
            <v/>
          </cell>
        </row>
        <row r="298">
          <cell r="C298" t="str">
            <v/>
          </cell>
          <cell r="L298" t="str">
            <v/>
          </cell>
        </row>
        <row r="299">
          <cell r="C299" t="str">
            <v/>
          </cell>
          <cell r="L299" t="str">
            <v/>
          </cell>
        </row>
        <row r="300">
          <cell r="C300" t="str">
            <v/>
          </cell>
          <cell r="L300" t="str">
            <v/>
          </cell>
        </row>
        <row r="301">
          <cell r="C301" t="str">
            <v/>
          </cell>
          <cell r="L301" t="str">
            <v/>
          </cell>
        </row>
        <row r="302">
          <cell r="C302" t="str">
            <v/>
          </cell>
          <cell r="L302" t="str">
            <v/>
          </cell>
        </row>
        <row r="303">
          <cell r="C303" t="str">
            <v/>
          </cell>
          <cell r="L303" t="str">
            <v/>
          </cell>
        </row>
        <row r="304">
          <cell r="C304" t="str">
            <v/>
          </cell>
          <cell r="L304" t="str">
            <v/>
          </cell>
        </row>
        <row r="305">
          <cell r="C305" t="str">
            <v/>
          </cell>
          <cell r="L305" t="str">
            <v/>
          </cell>
        </row>
        <row r="306">
          <cell r="C306" t="str">
            <v/>
          </cell>
          <cell r="L306" t="str">
            <v/>
          </cell>
        </row>
        <row r="307">
          <cell r="C307" t="str">
            <v/>
          </cell>
          <cell r="L307" t="str">
            <v/>
          </cell>
        </row>
        <row r="308">
          <cell r="C308" t="str">
            <v/>
          </cell>
          <cell r="L308" t="str">
            <v/>
          </cell>
        </row>
        <row r="309">
          <cell r="C309" t="str">
            <v/>
          </cell>
          <cell r="L309" t="str">
            <v/>
          </cell>
        </row>
        <row r="310">
          <cell r="C310" t="str">
            <v/>
          </cell>
          <cell r="L310" t="str">
            <v/>
          </cell>
        </row>
        <row r="311">
          <cell r="C311" t="str">
            <v/>
          </cell>
          <cell r="L311" t="str">
            <v/>
          </cell>
        </row>
        <row r="312">
          <cell r="C312" t="str">
            <v/>
          </cell>
          <cell r="L312" t="str">
            <v/>
          </cell>
        </row>
        <row r="313">
          <cell r="C313" t="str">
            <v/>
          </cell>
          <cell r="L313" t="str">
            <v/>
          </cell>
        </row>
        <row r="314">
          <cell r="C314" t="str">
            <v/>
          </cell>
          <cell r="L314" t="str">
            <v/>
          </cell>
        </row>
        <row r="315">
          <cell r="C315" t="str">
            <v/>
          </cell>
          <cell r="L315" t="str">
            <v/>
          </cell>
        </row>
        <row r="316">
          <cell r="C316" t="str">
            <v/>
          </cell>
          <cell r="L316" t="str">
            <v/>
          </cell>
        </row>
        <row r="317">
          <cell r="C317" t="str">
            <v/>
          </cell>
          <cell r="L317" t="str">
            <v/>
          </cell>
        </row>
        <row r="318">
          <cell r="C318" t="str">
            <v/>
          </cell>
          <cell r="L318" t="str">
            <v/>
          </cell>
        </row>
        <row r="319">
          <cell r="C319" t="str">
            <v/>
          </cell>
          <cell r="L319" t="str">
            <v/>
          </cell>
        </row>
        <row r="320">
          <cell r="C320" t="str">
            <v/>
          </cell>
          <cell r="L320" t="str">
            <v/>
          </cell>
        </row>
        <row r="321">
          <cell r="C321" t="str">
            <v/>
          </cell>
          <cell r="L321" t="str">
            <v/>
          </cell>
        </row>
        <row r="322">
          <cell r="C322" t="str">
            <v/>
          </cell>
          <cell r="L322" t="str">
            <v/>
          </cell>
        </row>
        <row r="323">
          <cell r="C323" t="str">
            <v/>
          </cell>
          <cell r="L323" t="str">
            <v/>
          </cell>
        </row>
        <row r="324">
          <cell r="C324" t="str">
            <v/>
          </cell>
          <cell r="L324" t="str">
            <v/>
          </cell>
        </row>
        <row r="325">
          <cell r="C325" t="str">
            <v/>
          </cell>
          <cell r="L325" t="str">
            <v/>
          </cell>
        </row>
        <row r="326">
          <cell r="C326" t="str">
            <v/>
          </cell>
          <cell r="L326" t="str">
            <v/>
          </cell>
        </row>
        <row r="327">
          <cell r="C327" t="str">
            <v/>
          </cell>
          <cell r="L327" t="str">
            <v/>
          </cell>
        </row>
        <row r="328">
          <cell r="C328" t="str">
            <v/>
          </cell>
          <cell r="L328" t="str">
            <v/>
          </cell>
        </row>
        <row r="329">
          <cell r="C329" t="str">
            <v/>
          </cell>
          <cell r="L329" t="str">
            <v/>
          </cell>
        </row>
        <row r="330">
          <cell r="C330" t="str">
            <v/>
          </cell>
          <cell r="L330" t="str">
            <v/>
          </cell>
        </row>
        <row r="331">
          <cell r="C331" t="str">
            <v/>
          </cell>
          <cell r="L331" t="str">
            <v/>
          </cell>
        </row>
        <row r="332">
          <cell r="C332" t="str">
            <v/>
          </cell>
          <cell r="L332" t="str">
            <v/>
          </cell>
        </row>
        <row r="333">
          <cell r="C333" t="str">
            <v/>
          </cell>
          <cell r="L333" t="str">
            <v/>
          </cell>
        </row>
        <row r="334">
          <cell r="C334" t="str">
            <v/>
          </cell>
          <cell r="L334" t="str">
            <v/>
          </cell>
        </row>
        <row r="335">
          <cell r="C335" t="str">
            <v/>
          </cell>
          <cell r="L335" t="str">
            <v/>
          </cell>
        </row>
        <row r="336">
          <cell r="C336" t="str">
            <v/>
          </cell>
          <cell r="L336" t="str">
            <v/>
          </cell>
        </row>
        <row r="337">
          <cell r="C337" t="str">
            <v/>
          </cell>
          <cell r="L337" t="str">
            <v/>
          </cell>
        </row>
        <row r="338">
          <cell r="C338" t="str">
            <v/>
          </cell>
          <cell r="L338" t="str">
            <v/>
          </cell>
        </row>
        <row r="339">
          <cell r="C339" t="str">
            <v/>
          </cell>
          <cell r="L339" t="str">
            <v/>
          </cell>
        </row>
        <row r="340">
          <cell r="C340" t="str">
            <v/>
          </cell>
          <cell r="L340" t="str">
            <v/>
          </cell>
        </row>
        <row r="341">
          <cell r="C341" t="str">
            <v/>
          </cell>
          <cell r="L341" t="str">
            <v/>
          </cell>
        </row>
        <row r="342">
          <cell r="C342" t="str">
            <v/>
          </cell>
          <cell r="L342" t="str">
            <v/>
          </cell>
        </row>
        <row r="343">
          <cell r="C343" t="str">
            <v/>
          </cell>
          <cell r="L343" t="str">
            <v/>
          </cell>
        </row>
        <row r="344">
          <cell r="C344" t="str">
            <v/>
          </cell>
          <cell r="L344" t="str">
            <v/>
          </cell>
        </row>
        <row r="345">
          <cell r="C345" t="str">
            <v/>
          </cell>
          <cell r="L345" t="str">
            <v/>
          </cell>
        </row>
        <row r="346">
          <cell r="C346" t="str">
            <v/>
          </cell>
          <cell r="L346" t="str">
            <v/>
          </cell>
        </row>
        <row r="347">
          <cell r="C347" t="str">
            <v/>
          </cell>
          <cell r="L347" t="str">
            <v/>
          </cell>
        </row>
        <row r="348">
          <cell r="C348" t="str">
            <v/>
          </cell>
          <cell r="L348" t="str">
            <v/>
          </cell>
        </row>
        <row r="349">
          <cell r="C349" t="str">
            <v/>
          </cell>
          <cell r="L349" t="str">
            <v/>
          </cell>
        </row>
        <row r="350">
          <cell r="C350" t="str">
            <v/>
          </cell>
          <cell r="L350" t="str">
            <v/>
          </cell>
        </row>
        <row r="351">
          <cell r="C351" t="str">
            <v/>
          </cell>
          <cell r="L351" t="str">
            <v/>
          </cell>
        </row>
        <row r="352">
          <cell r="C352" t="str">
            <v/>
          </cell>
          <cell r="L352" t="str">
            <v/>
          </cell>
        </row>
        <row r="353">
          <cell r="C353" t="str">
            <v/>
          </cell>
          <cell r="L353" t="str">
            <v/>
          </cell>
        </row>
        <row r="354">
          <cell r="C354" t="str">
            <v/>
          </cell>
          <cell r="L354" t="str">
            <v/>
          </cell>
        </row>
        <row r="355">
          <cell r="C355" t="str">
            <v/>
          </cell>
          <cell r="L355" t="str">
            <v/>
          </cell>
        </row>
        <row r="356">
          <cell r="C356" t="str">
            <v/>
          </cell>
          <cell r="L356" t="str">
            <v/>
          </cell>
        </row>
        <row r="357">
          <cell r="C357" t="str">
            <v/>
          </cell>
          <cell r="L357" t="str">
            <v/>
          </cell>
        </row>
        <row r="358">
          <cell r="C358" t="str">
            <v/>
          </cell>
          <cell r="L358" t="str">
            <v/>
          </cell>
        </row>
        <row r="359">
          <cell r="C359" t="str">
            <v/>
          </cell>
          <cell r="L359" t="str">
            <v/>
          </cell>
        </row>
        <row r="360">
          <cell r="C360" t="str">
            <v/>
          </cell>
          <cell r="L360" t="str">
            <v/>
          </cell>
        </row>
        <row r="361">
          <cell r="C361" t="str">
            <v/>
          </cell>
          <cell r="L361" t="str">
            <v/>
          </cell>
        </row>
        <row r="362">
          <cell r="C362" t="str">
            <v/>
          </cell>
          <cell r="L362" t="str">
            <v/>
          </cell>
        </row>
        <row r="363">
          <cell r="C363" t="str">
            <v/>
          </cell>
          <cell r="L363" t="str">
            <v/>
          </cell>
        </row>
        <row r="364">
          <cell r="C364" t="str">
            <v/>
          </cell>
          <cell r="L364" t="str">
            <v/>
          </cell>
        </row>
        <row r="365">
          <cell r="C365" t="str">
            <v/>
          </cell>
          <cell r="L365" t="str">
            <v/>
          </cell>
        </row>
        <row r="366">
          <cell r="C366" t="str">
            <v/>
          </cell>
          <cell r="L366" t="str">
            <v/>
          </cell>
        </row>
        <row r="367">
          <cell r="C367" t="str">
            <v/>
          </cell>
          <cell r="L367" t="str">
            <v/>
          </cell>
        </row>
        <row r="368">
          <cell r="C368" t="str">
            <v/>
          </cell>
          <cell r="L368" t="str">
            <v/>
          </cell>
        </row>
        <row r="369">
          <cell r="C369" t="str">
            <v/>
          </cell>
          <cell r="L369" t="str">
            <v/>
          </cell>
        </row>
        <row r="370">
          <cell r="C370" t="str">
            <v/>
          </cell>
          <cell r="L370" t="str">
            <v/>
          </cell>
        </row>
        <row r="371">
          <cell r="C371" t="str">
            <v/>
          </cell>
          <cell r="L371" t="str">
            <v/>
          </cell>
        </row>
        <row r="372">
          <cell r="C372" t="str">
            <v/>
          </cell>
          <cell r="L372" t="str">
            <v/>
          </cell>
        </row>
        <row r="373">
          <cell r="C373" t="str">
            <v/>
          </cell>
          <cell r="L373" t="str">
            <v/>
          </cell>
        </row>
        <row r="374">
          <cell r="C374" t="str">
            <v/>
          </cell>
          <cell r="L374" t="str">
            <v/>
          </cell>
        </row>
        <row r="375">
          <cell r="C375" t="str">
            <v/>
          </cell>
          <cell r="L375" t="str">
            <v/>
          </cell>
        </row>
        <row r="376">
          <cell r="C376" t="str">
            <v/>
          </cell>
          <cell r="L376" t="str">
            <v/>
          </cell>
        </row>
        <row r="377">
          <cell r="C377" t="str">
            <v/>
          </cell>
          <cell r="L377" t="str">
            <v/>
          </cell>
        </row>
        <row r="378">
          <cell r="C378" t="str">
            <v/>
          </cell>
          <cell r="L378" t="str">
            <v/>
          </cell>
        </row>
        <row r="379">
          <cell r="C379" t="str">
            <v/>
          </cell>
          <cell r="L379" t="str">
            <v/>
          </cell>
        </row>
        <row r="380">
          <cell r="C380" t="str">
            <v/>
          </cell>
          <cell r="L380" t="str">
            <v/>
          </cell>
        </row>
        <row r="381">
          <cell r="C381" t="str">
            <v/>
          </cell>
          <cell r="L381" t="str">
            <v/>
          </cell>
        </row>
        <row r="382">
          <cell r="C382" t="str">
            <v/>
          </cell>
          <cell r="L382" t="str">
            <v/>
          </cell>
        </row>
        <row r="383">
          <cell r="C383" t="str">
            <v/>
          </cell>
          <cell r="L383" t="str">
            <v/>
          </cell>
        </row>
        <row r="384">
          <cell r="C384" t="str">
            <v/>
          </cell>
          <cell r="L384" t="str">
            <v/>
          </cell>
        </row>
        <row r="385">
          <cell r="C385" t="str">
            <v/>
          </cell>
          <cell r="L385" t="str">
            <v/>
          </cell>
        </row>
        <row r="386">
          <cell r="C386" t="str">
            <v/>
          </cell>
          <cell r="L386" t="str">
            <v/>
          </cell>
        </row>
        <row r="387">
          <cell r="C387" t="str">
            <v/>
          </cell>
          <cell r="L387" t="str">
            <v/>
          </cell>
        </row>
        <row r="388">
          <cell r="C388" t="str">
            <v/>
          </cell>
          <cell r="L388" t="str">
            <v/>
          </cell>
        </row>
        <row r="389">
          <cell r="C389" t="str">
            <v/>
          </cell>
          <cell r="L389" t="str">
            <v/>
          </cell>
        </row>
        <row r="390">
          <cell r="C390" t="str">
            <v/>
          </cell>
          <cell r="L390" t="str">
            <v/>
          </cell>
        </row>
        <row r="391">
          <cell r="C391" t="str">
            <v/>
          </cell>
          <cell r="L391" t="str">
            <v/>
          </cell>
        </row>
        <row r="392">
          <cell r="C392" t="str">
            <v/>
          </cell>
          <cell r="L392" t="str">
            <v/>
          </cell>
        </row>
        <row r="393">
          <cell r="C393" t="str">
            <v/>
          </cell>
          <cell r="L393" t="str">
            <v/>
          </cell>
        </row>
        <row r="394">
          <cell r="C394" t="str">
            <v/>
          </cell>
          <cell r="L394" t="str">
            <v/>
          </cell>
        </row>
        <row r="395">
          <cell r="C395" t="str">
            <v/>
          </cell>
          <cell r="L395" t="str">
            <v/>
          </cell>
        </row>
        <row r="396">
          <cell r="C396" t="str">
            <v/>
          </cell>
          <cell r="L396" t="str">
            <v/>
          </cell>
        </row>
        <row r="397">
          <cell r="C397" t="str">
            <v/>
          </cell>
          <cell r="L397" t="str">
            <v/>
          </cell>
        </row>
        <row r="398">
          <cell r="C398" t="str">
            <v/>
          </cell>
          <cell r="L398" t="str">
            <v/>
          </cell>
        </row>
        <row r="399">
          <cell r="C399" t="str">
            <v/>
          </cell>
          <cell r="L399" t="str">
            <v/>
          </cell>
        </row>
        <row r="400">
          <cell r="C400" t="str">
            <v/>
          </cell>
          <cell r="L400" t="str">
            <v/>
          </cell>
        </row>
        <row r="401">
          <cell r="C401" t="str">
            <v/>
          </cell>
          <cell r="L401" t="str">
            <v/>
          </cell>
        </row>
        <row r="402">
          <cell r="C402" t="str">
            <v/>
          </cell>
          <cell r="L402" t="str">
            <v/>
          </cell>
        </row>
        <row r="403">
          <cell r="C403" t="str">
            <v/>
          </cell>
          <cell r="L403" t="str">
            <v/>
          </cell>
        </row>
        <row r="404">
          <cell r="C404" t="str">
            <v/>
          </cell>
          <cell r="L404" t="str">
            <v/>
          </cell>
        </row>
        <row r="405">
          <cell r="C405" t="str">
            <v/>
          </cell>
          <cell r="L405" t="str">
            <v/>
          </cell>
        </row>
        <row r="406">
          <cell r="C406" t="str">
            <v/>
          </cell>
          <cell r="L406" t="str">
            <v/>
          </cell>
        </row>
        <row r="407">
          <cell r="C407" t="str">
            <v/>
          </cell>
          <cell r="L407" t="str">
            <v/>
          </cell>
        </row>
        <row r="408">
          <cell r="C408" t="str">
            <v/>
          </cell>
          <cell r="L408" t="str">
            <v/>
          </cell>
        </row>
        <row r="409">
          <cell r="C409" t="str">
            <v/>
          </cell>
          <cell r="L409" t="str">
            <v/>
          </cell>
        </row>
        <row r="410">
          <cell r="C410" t="str">
            <v/>
          </cell>
          <cell r="L410" t="str">
            <v/>
          </cell>
        </row>
        <row r="411">
          <cell r="C411" t="str">
            <v/>
          </cell>
          <cell r="L411" t="str">
            <v/>
          </cell>
        </row>
        <row r="412">
          <cell r="C412" t="str">
            <v/>
          </cell>
          <cell r="L412" t="str">
            <v/>
          </cell>
        </row>
        <row r="413">
          <cell r="C413" t="str">
            <v/>
          </cell>
          <cell r="L413" t="str">
            <v/>
          </cell>
        </row>
        <row r="414">
          <cell r="C414" t="str">
            <v/>
          </cell>
          <cell r="L414" t="str">
            <v/>
          </cell>
        </row>
        <row r="415">
          <cell r="C415" t="str">
            <v/>
          </cell>
          <cell r="L415" t="str">
            <v/>
          </cell>
        </row>
        <row r="416">
          <cell r="C416" t="str">
            <v/>
          </cell>
          <cell r="L416" t="str">
            <v/>
          </cell>
        </row>
        <row r="417">
          <cell r="C417" t="str">
            <v/>
          </cell>
          <cell r="L417" t="str">
            <v/>
          </cell>
        </row>
        <row r="418">
          <cell r="C418" t="str">
            <v/>
          </cell>
          <cell r="L418" t="str">
            <v/>
          </cell>
        </row>
        <row r="419">
          <cell r="C419" t="str">
            <v/>
          </cell>
          <cell r="L419" t="str">
            <v/>
          </cell>
        </row>
        <row r="420">
          <cell r="C420" t="str">
            <v/>
          </cell>
          <cell r="L420" t="str">
            <v/>
          </cell>
        </row>
        <row r="421">
          <cell r="C421" t="str">
            <v/>
          </cell>
          <cell r="L421" t="str">
            <v/>
          </cell>
        </row>
        <row r="422">
          <cell r="C422" t="str">
            <v/>
          </cell>
          <cell r="L422" t="str">
            <v/>
          </cell>
        </row>
        <row r="423">
          <cell r="C423" t="str">
            <v/>
          </cell>
          <cell r="L423" t="str">
            <v/>
          </cell>
        </row>
        <row r="424">
          <cell r="C424" t="str">
            <v/>
          </cell>
          <cell r="L424" t="str">
            <v/>
          </cell>
        </row>
        <row r="425">
          <cell r="C425" t="str">
            <v/>
          </cell>
          <cell r="L425" t="str">
            <v/>
          </cell>
        </row>
        <row r="426">
          <cell r="C426" t="str">
            <v/>
          </cell>
          <cell r="L426" t="str">
            <v/>
          </cell>
        </row>
        <row r="427">
          <cell r="C427" t="str">
            <v/>
          </cell>
          <cell r="L427" t="str">
            <v/>
          </cell>
        </row>
        <row r="428">
          <cell r="C428" t="str">
            <v/>
          </cell>
          <cell r="L428" t="str">
            <v/>
          </cell>
        </row>
        <row r="429">
          <cell r="C429" t="str">
            <v/>
          </cell>
          <cell r="L429" t="str">
            <v/>
          </cell>
        </row>
        <row r="430">
          <cell r="C430" t="str">
            <v/>
          </cell>
          <cell r="L430" t="str">
            <v/>
          </cell>
        </row>
        <row r="431">
          <cell r="C431" t="str">
            <v/>
          </cell>
          <cell r="L431" t="str">
            <v/>
          </cell>
        </row>
        <row r="432">
          <cell r="C432" t="str">
            <v/>
          </cell>
          <cell r="L432" t="str">
            <v/>
          </cell>
        </row>
        <row r="433">
          <cell r="C433" t="str">
            <v/>
          </cell>
          <cell r="L433" t="str">
            <v/>
          </cell>
        </row>
        <row r="434">
          <cell r="C434" t="str">
            <v/>
          </cell>
          <cell r="L434" t="str">
            <v/>
          </cell>
        </row>
        <row r="435">
          <cell r="C435" t="str">
            <v/>
          </cell>
          <cell r="L435" t="str">
            <v/>
          </cell>
        </row>
        <row r="436">
          <cell r="C436" t="str">
            <v/>
          </cell>
          <cell r="L436" t="str">
            <v/>
          </cell>
        </row>
        <row r="437">
          <cell r="C437" t="str">
            <v/>
          </cell>
          <cell r="L437" t="str">
            <v/>
          </cell>
        </row>
        <row r="438">
          <cell r="C438" t="str">
            <v/>
          </cell>
          <cell r="L438" t="str">
            <v/>
          </cell>
        </row>
        <row r="439">
          <cell r="C439" t="str">
            <v/>
          </cell>
          <cell r="L439" t="str">
            <v/>
          </cell>
        </row>
        <row r="440">
          <cell r="C440" t="str">
            <v/>
          </cell>
          <cell r="L440" t="str">
            <v/>
          </cell>
        </row>
        <row r="441">
          <cell r="C441" t="str">
            <v/>
          </cell>
          <cell r="L441" t="str">
            <v/>
          </cell>
        </row>
        <row r="442">
          <cell r="C442" t="str">
            <v/>
          </cell>
          <cell r="L442" t="str">
            <v/>
          </cell>
        </row>
        <row r="443">
          <cell r="C443" t="str">
            <v/>
          </cell>
          <cell r="L443" t="str">
            <v/>
          </cell>
        </row>
        <row r="444">
          <cell r="C444" t="str">
            <v/>
          </cell>
          <cell r="L444" t="str">
            <v/>
          </cell>
        </row>
        <row r="445">
          <cell r="C445" t="str">
            <v/>
          </cell>
          <cell r="L445" t="str">
            <v/>
          </cell>
        </row>
        <row r="446">
          <cell r="C446" t="str">
            <v/>
          </cell>
          <cell r="L446" t="str">
            <v/>
          </cell>
        </row>
        <row r="447">
          <cell r="C447" t="str">
            <v/>
          </cell>
          <cell r="L447" t="str">
            <v/>
          </cell>
        </row>
        <row r="448">
          <cell r="C448" t="str">
            <v/>
          </cell>
          <cell r="L448" t="str">
            <v/>
          </cell>
        </row>
        <row r="449">
          <cell r="C449" t="str">
            <v/>
          </cell>
          <cell r="L449" t="str">
            <v/>
          </cell>
        </row>
        <row r="450">
          <cell r="C450" t="str">
            <v/>
          </cell>
          <cell r="L450" t="str">
            <v/>
          </cell>
        </row>
        <row r="451">
          <cell r="C451" t="str">
            <v/>
          </cell>
          <cell r="L451" t="str">
            <v/>
          </cell>
        </row>
        <row r="452">
          <cell r="C452" t="str">
            <v/>
          </cell>
          <cell r="L452" t="str">
            <v/>
          </cell>
        </row>
        <row r="453">
          <cell r="C453" t="str">
            <v/>
          </cell>
          <cell r="L453" t="str">
            <v/>
          </cell>
        </row>
        <row r="454">
          <cell r="C454" t="str">
            <v/>
          </cell>
          <cell r="L454" t="str">
            <v/>
          </cell>
        </row>
        <row r="455">
          <cell r="C455" t="str">
            <v/>
          </cell>
          <cell r="L455" t="str">
            <v/>
          </cell>
        </row>
        <row r="456">
          <cell r="C456" t="str">
            <v/>
          </cell>
          <cell r="L456" t="str">
            <v/>
          </cell>
        </row>
        <row r="457">
          <cell r="C457" t="str">
            <v/>
          </cell>
          <cell r="L457" t="str">
            <v/>
          </cell>
        </row>
        <row r="458">
          <cell r="C458" t="str">
            <v/>
          </cell>
          <cell r="L458" t="str">
            <v/>
          </cell>
        </row>
        <row r="459">
          <cell r="C459" t="str">
            <v/>
          </cell>
          <cell r="L459" t="str">
            <v/>
          </cell>
        </row>
        <row r="460">
          <cell r="C460" t="str">
            <v/>
          </cell>
          <cell r="L460" t="str">
            <v/>
          </cell>
        </row>
        <row r="461">
          <cell r="C461" t="str">
            <v/>
          </cell>
          <cell r="L461" t="str">
            <v/>
          </cell>
        </row>
        <row r="462">
          <cell r="C462" t="str">
            <v/>
          </cell>
          <cell r="L462" t="str">
            <v/>
          </cell>
        </row>
        <row r="463">
          <cell r="C463" t="str">
            <v/>
          </cell>
          <cell r="L463" t="str">
            <v/>
          </cell>
        </row>
        <row r="464">
          <cell r="C464" t="str">
            <v/>
          </cell>
          <cell r="L464" t="str">
            <v/>
          </cell>
        </row>
        <row r="465">
          <cell r="C465" t="str">
            <v/>
          </cell>
          <cell r="L465" t="str">
            <v/>
          </cell>
        </row>
        <row r="466">
          <cell r="C466" t="str">
            <v/>
          </cell>
          <cell r="L466" t="str">
            <v/>
          </cell>
        </row>
        <row r="467">
          <cell r="C467" t="str">
            <v/>
          </cell>
          <cell r="L467" t="str">
            <v/>
          </cell>
        </row>
        <row r="468">
          <cell r="C468" t="str">
            <v/>
          </cell>
          <cell r="L468" t="str">
            <v/>
          </cell>
        </row>
        <row r="469">
          <cell r="C469" t="str">
            <v/>
          </cell>
          <cell r="L469" t="str">
            <v/>
          </cell>
        </row>
        <row r="470">
          <cell r="C470" t="str">
            <v/>
          </cell>
          <cell r="L470" t="str">
            <v/>
          </cell>
        </row>
        <row r="471">
          <cell r="C471" t="str">
            <v/>
          </cell>
          <cell r="L471" t="str">
            <v/>
          </cell>
        </row>
        <row r="472">
          <cell r="C472" t="str">
            <v/>
          </cell>
          <cell r="L472" t="str">
            <v/>
          </cell>
        </row>
        <row r="473">
          <cell r="C473" t="str">
            <v/>
          </cell>
          <cell r="L473" t="str">
            <v/>
          </cell>
        </row>
        <row r="474">
          <cell r="C474" t="str">
            <v/>
          </cell>
          <cell r="L474" t="str">
            <v/>
          </cell>
        </row>
        <row r="475">
          <cell r="C475" t="str">
            <v/>
          </cell>
          <cell r="L475" t="str">
            <v/>
          </cell>
        </row>
        <row r="476">
          <cell r="C476" t="str">
            <v/>
          </cell>
          <cell r="L476" t="str">
            <v/>
          </cell>
        </row>
        <row r="477">
          <cell r="C477" t="str">
            <v/>
          </cell>
          <cell r="L477" t="str">
            <v/>
          </cell>
        </row>
        <row r="478">
          <cell r="C478" t="str">
            <v/>
          </cell>
          <cell r="L478" t="str">
            <v/>
          </cell>
        </row>
        <row r="479">
          <cell r="C479" t="str">
            <v/>
          </cell>
          <cell r="L479" t="str">
            <v/>
          </cell>
        </row>
        <row r="480">
          <cell r="C480" t="str">
            <v/>
          </cell>
          <cell r="L480" t="str">
            <v/>
          </cell>
        </row>
        <row r="481">
          <cell r="C481" t="str">
            <v/>
          </cell>
          <cell r="L481" t="str">
            <v/>
          </cell>
        </row>
        <row r="482">
          <cell r="C482" t="str">
            <v/>
          </cell>
          <cell r="L482" t="str">
            <v/>
          </cell>
        </row>
        <row r="483">
          <cell r="C483" t="str">
            <v/>
          </cell>
          <cell r="L483" t="str">
            <v/>
          </cell>
        </row>
        <row r="484">
          <cell r="C484" t="str">
            <v/>
          </cell>
          <cell r="L484" t="str">
            <v/>
          </cell>
        </row>
        <row r="485">
          <cell r="C485" t="str">
            <v/>
          </cell>
          <cell r="L485" t="str">
            <v/>
          </cell>
        </row>
        <row r="486">
          <cell r="C486" t="str">
            <v/>
          </cell>
          <cell r="L486" t="str">
            <v/>
          </cell>
        </row>
        <row r="487">
          <cell r="C487" t="str">
            <v/>
          </cell>
          <cell r="L487" t="str">
            <v/>
          </cell>
        </row>
        <row r="488">
          <cell r="C488" t="str">
            <v/>
          </cell>
          <cell r="L488" t="str">
            <v/>
          </cell>
        </row>
        <row r="489">
          <cell r="C489" t="str">
            <v/>
          </cell>
          <cell r="L489" t="str">
            <v/>
          </cell>
        </row>
        <row r="490">
          <cell r="C490" t="str">
            <v/>
          </cell>
          <cell r="L490" t="str">
            <v/>
          </cell>
        </row>
        <row r="491">
          <cell r="C491" t="str">
            <v/>
          </cell>
          <cell r="L491" t="str">
            <v/>
          </cell>
        </row>
        <row r="492">
          <cell r="C492" t="str">
            <v/>
          </cell>
          <cell r="L492" t="str">
            <v/>
          </cell>
        </row>
        <row r="493">
          <cell r="C493" t="str">
            <v/>
          </cell>
          <cell r="L493" t="str">
            <v/>
          </cell>
        </row>
        <row r="494">
          <cell r="C494" t="str">
            <v/>
          </cell>
          <cell r="L494" t="str">
            <v/>
          </cell>
        </row>
        <row r="495">
          <cell r="C495" t="str">
            <v/>
          </cell>
          <cell r="L495" t="str">
            <v/>
          </cell>
        </row>
        <row r="496">
          <cell r="C496" t="str">
            <v/>
          </cell>
          <cell r="L496" t="str">
            <v/>
          </cell>
        </row>
        <row r="497">
          <cell r="C497" t="str">
            <v/>
          </cell>
          <cell r="L497" t="str">
            <v/>
          </cell>
        </row>
        <row r="498">
          <cell r="C498" t="str">
            <v/>
          </cell>
          <cell r="L498" t="str">
            <v/>
          </cell>
        </row>
        <row r="499">
          <cell r="C499" t="str">
            <v/>
          </cell>
          <cell r="L499" t="str">
            <v/>
          </cell>
        </row>
        <row r="500">
          <cell r="C500" t="str">
            <v/>
          </cell>
          <cell r="L500" t="str">
            <v/>
          </cell>
        </row>
        <row r="501">
          <cell r="C501" t="str">
            <v/>
          </cell>
          <cell r="L501" t="str">
            <v/>
          </cell>
        </row>
      </sheetData>
      <sheetData sheetId="2">
        <row r="3">
          <cell r="C3">
            <v>11</v>
          </cell>
          <cell r="K3">
            <v>6435</v>
          </cell>
          <cell r="P3" t="str">
            <v>32</v>
          </cell>
          <cell r="Q3" t="str">
            <v>11</v>
          </cell>
        </row>
        <row r="4">
          <cell r="C4">
            <v>11</v>
          </cell>
          <cell r="K4">
            <v>303</v>
          </cell>
          <cell r="P4" t="str">
            <v>32</v>
          </cell>
          <cell r="Q4" t="str">
            <v>11</v>
          </cell>
        </row>
        <row r="5">
          <cell r="C5">
            <v>11</v>
          </cell>
          <cell r="K5">
            <v>635</v>
          </cell>
          <cell r="P5" t="str">
            <v>32</v>
          </cell>
          <cell r="Q5" t="str">
            <v>11</v>
          </cell>
        </row>
        <row r="6">
          <cell r="C6">
            <v>11</v>
          </cell>
          <cell r="K6">
            <v>4189</v>
          </cell>
          <cell r="P6" t="str">
            <v>32</v>
          </cell>
          <cell r="Q6" t="str">
            <v>11</v>
          </cell>
        </row>
        <row r="7">
          <cell r="C7">
            <v>11</v>
          </cell>
          <cell r="K7">
            <v>4365</v>
          </cell>
          <cell r="P7" t="str">
            <v>32</v>
          </cell>
          <cell r="Q7" t="str">
            <v>11</v>
          </cell>
        </row>
        <row r="8">
          <cell r="C8">
            <v>11</v>
          </cell>
          <cell r="J8">
            <v>24748</v>
          </cell>
          <cell r="P8" t="str">
            <v>31</v>
          </cell>
          <cell r="Q8" t="str">
            <v>11</v>
          </cell>
        </row>
        <row r="9">
          <cell r="C9">
            <v>11</v>
          </cell>
          <cell r="J9">
            <v>4083</v>
          </cell>
          <cell r="P9" t="str">
            <v>31</v>
          </cell>
          <cell r="Q9" t="str">
            <v>11</v>
          </cell>
        </row>
        <row r="10">
          <cell r="C10">
            <v>11</v>
          </cell>
          <cell r="J10">
            <v>2895</v>
          </cell>
          <cell r="P10" t="str">
            <v>32</v>
          </cell>
          <cell r="Q10" t="str">
            <v>11</v>
          </cell>
        </row>
        <row r="11">
          <cell r="C11">
            <v>11</v>
          </cell>
          <cell r="J11">
            <v>9252</v>
          </cell>
          <cell r="P11" t="str">
            <v>34</v>
          </cell>
          <cell r="Q11" t="str">
            <v>11</v>
          </cell>
        </row>
        <row r="12">
          <cell r="C12">
            <v>52</v>
          </cell>
          <cell r="J12">
            <v>53089</v>
          </cell>
          <cell r="K12">
            <v>53089</v>
          </cell>
          <cell r="L12">
            <v>53089</v>
          </cell>
          <cell r="P12" t="str">
            <v>32</v>
          </cell>
          <cell r="Q12" t="str">
            <v>52</v>
          </cell>
        </row>
        <row r="13">
          <cell r="C13">
            <v>11</v>
          </cell>
          <cell r="J13">
            <v>4705076</v>
          </cell>
          <cell r="K13">
            <v>4705076</v>
          </cell>
          <cell r="L13">
            <v>4705076</v>
          </cell>
          <cell r="P13" t="str">
            <v>31</v>
          </cell>
          <cell r="Q13" t="str">
            <v>11</v>
          </cell>
        </row>
        <row r="14">
          <cell r="C14">
            <v>11</v>
          </cell>
          <cell r="J14">
            <v>3616</v>
          </cell>
          <cell r="K14">
            <v>3616</v>
          </cell>
          <cell r="L14">
            <v>3616</v>
          </cell>
          <cell r="P14" t="str">
            <v>31</v>
          </cell>
          <cell r="Q14" t="str">
            <v>11</v>
          </cell>
        </row>
        <row r="15">
          <cell r="C15">
            <v>11</v>
          </cell>
          <cell r="J15">
            <v>190821</v>
          </cell>
          <cell r="K15">
            <v>190821</v>
          </cell>
          <cell r="L15">
            <v>190821</v>
          </cell>
          <cell r="P15" t="str">
            <v>31</v>
          </cell>
          <cell r="Q15" t="str">
            <v>11</v>
          </cell>
        </row>
        <row r="16">
          <cell r="C16">
            <v>11</v>
          </cell>
          <cell r="J16">
            <v>776934</v>
          </cell>
          <cell r="K16">
            <v>776934</v>
          </cell>
          <cell r="L16">
            <v>776934</v>
          </cell>
          <cell r="P16" t="str">
            <v>31</v>
          </cell>
          <cell r="Q16" t="str">
            <v>11</v>
          </cell>
        </row>
        <row r="17">
          <cell r="C17">
            <v>11</v>
          </cell>
          <cell r="J17">
            <v>72651</v>
          </cell>
          <cell r="K17">
            <v>72651</v>
          </cell>
          <cell r="L17">
            <v>72651</v>
          </cell>
          <cell r="P17" t="str">
            <v>32</v>
          </cell>
          <cell r="Q17" t="str">
            <v>11</v>
          </cell>
        </row>
        <row r="18">
          <cell r="C18">
            <v>11</v>
          </cell>
          <cell r="J18">
            <v>10618</v>
          </cell>
          <cell r="K18">
            <v>10618</v>
          </cell>
          <cell r="L18">
            <v>10618</v>
          </cell>
          <cell r="P18" t="str">
            <v>32</v>
          </cell>
          <cell r="Q18" t="str">
            <v>11</v>
          </cell>
        </row>
        <row r="19">
          <cell r="C19">
            <v>11</v>
          </cell>
          <cell r="J19">
            <v>6636</v>
          </cell>
          <cell r="K19">
            <v>6636</v>
          </cell>
          <cell r="L19">
            <v>6636</v>
          </cell>
          <cell r="P19" t="str">
            <v>32</v>
          </cell>
          <cell r="Q19" t="str">
            <v>11</v>
          </cell>
        </row>
        <row r="20">
          <cell r="C20">
            <v>11</v>
          </cell>
          <cell r="J20">
            <v>34637</v>
          </cell>
          <cell r="K20">
            <v>34637</v>
          </cell>
          <cell r="L20">
            <v>34637</v>
          </cell>
          <cell r="P20" t="str">
            <v>38</v>
          </cell>
          <cell r="Q20" t="str">
            <v>11</v>
          </cell>
        </row>
        <row r="21">
          <cell r="C21">
            <v>52</v>
          </cell>
          <cell r="J21">
            <v>15696</v>
          </cell>
          <cell r="K21">
            <v>15696</v>
          </cell>
          <cell r="P21" t="str">
            <v>31</v>
          </cell>
          <cell r="Q21" t="str">
            <v>52</v>
          </cell>
        </row>
        <row r="22">
          <cell r="C22">
            <v>52</v>
          </cell>
          <cell r="J22">
            <v>398</v>
          </cell>
          <cell r="K22">
            <v>398</v>
          </cell>
          <cell r="P22" t="str">
            <v>31</v>
          </cell>
          <cell r="Q22" t="str">
            <v>52</v>
          </cell>
        </row>
        <row r="23">
          <cell r="C23">
            <v>52</v>
          </cell>
          <cell r="J23">
            <v>2590</v>
          </cell>
          <cell r="K23">
            <v>2590</v>
          </cell>
          <cell r="P23" t="str">
            <v>31</v>
          </cell>
          <cell r="Q23" t="str">
            <v>52</v>
          </cell>
        </row>
        <row r="24">
          <cell r="C24">
            <v>52</v>
          </cell>
          <cell r="J24">
            <v>4000</v>
          </cell>
          <cell r="K24">
            <v>5500</v>
          </cell>
          <cell r="P24" t="str">
            <v>32</v>
          </cell>
          <cell r="Q24" t="str">
            <v>52</v>
          </cell>
        </row>
        <row r="25">
          <cell r="C25">
            <v>52</v>
          </cell>
          <cell r="J25">
            <v>464</v>
          </cell>
          <cell r="K25">
            <v>464</v>
          </cell>
          <cell r="P25" t="str">
            <v>32</v>
          </cell>
          <cell r="Q25" t="str">
            <v>52</v>
          </cell>
        </row>
        <row r="26">
          <cell r="C26">
            <v>52</v>
          </cell>
          <cell r="J26">
            <v>2200</v>
          </cell>
          <cell r="P26" t="str">
            <v>37</v>
          </cell>
          <cell r="Q26" t="str">
            <v>52</v>
          </cell>
        </row>
        <row r="27">
          <cell r="C27">
            <v>52</v>
          </cell>
          <cell r="K27">
            <v>1800</v>
          </cell>
          <cell r="P27" t="str">
            <v>32</v>
          </cell>
          <cell r="Q27" t="str">
            <v>52</v>
          </cell>
        </row>
        <row r="28">
          <cell r="C28">
            <v>52</v>
          </cell>
          <cell r="K28">
            <v>1200</v>
          </cell>
          <cell r="P28" t="str">
            <v>32</v>
          </cell>
          <cell r="Q28" t="str">
            <v>52</v>
          </cell>
        </row>
        <row r="29">
          <cell r="C29">
            <v>52</v>
          </cell>
          <cell r="J29">
            <v>400</v>
          </cell>
          <cell r="K29">
            <v>400</v>
          </cell>
          <cell r="P29" t="str">
            <v>42</v>
          </cell>
          <cell r="Q29" t="str">
            <v>52</v>
          </cell>
        </row>
        <row r="30">
          <cell r="C30">
            <v>52</v>
          </cell>
          <cell r="J30">
            <v>5000</v>
          </cell>
          <cell r="K30">
            <v>5000</v>
          </cell>
          <cell r="L30">
            <v>5000</v>
          </cell>
          <cell r="P30" t="str">
            <v>32</v>
          </cell>
          <cell r="Q30" t="str">
            <v>52</v>
          </cell>
        </row>
        <row r="31">
          <cell r="C31">
            <v>52</v>
          </cell>
          <cell r="J31">
            <v>5000</v>
          </cell>
          <cell r="K31">
            <v>5000</v>
          </cell>
          <cell r="L31">
            <v>5000</v>
          </cell>
          <cell r="P31" t="str">
            <v>32</v>
          </cell>
          <cell r="Q31" t="str">
            <v>52</v>
          </cell>
        </row>
        <row r="32">
          <cell r="C32">
            <v>52</v>
          </cell>
          <cell r="J32">
            <v>1000</v>
          </cell>
          <cell r="K32">
            <v>1000</v>
          </cell>
          <cell r="L32">
            <v>1000</v>
          </cell>
          <cell r="P32" t="str">
            <v>32</v>
          </cell>
          <cell r="Q32" t="str">
            <v>52</v>
          </cell>
        </row>
        <row r="33">
          <cell r="C33">
            <v>52</v>
          </cell>
          <cell r="J33">
            <v>2000</v>
          </cell>
          <cell r="K33">
            <v>2000</v>
          </cell>
          <cell r="L33">
            <v>2000</v>
          </cell>
          <cell r="P33" t="str">
            <v>42</v>
          </cell>
          <cell r="Q33" t="str">
            <v>52</v>
          </cell>
        </row>
        <row r="34">
          <cell r="C34">
            <v>52</v>
          </cell>
          <cell r="J34">
            <v>5679</v>
          </cell>
          <cell r="P34" t="str">
            <v>31</v>
          </cell>
          <cell r="Q34" t="str">
            <v>52</v>
          </cell>
        </row>
        <row r="35">
          <cell r="C35">
            <v>52</v>
          </cell>
          <cell r="J35">
            <v>937</v>
          </cell>
          <cell r="P35" t="str">
            <v>31</v>
          </cell>
          <cell r="Q35" t="str">
            <v>52</v>
          </cell>
        </row>
        <row r="36">
          <cell r="C36">
            <v>52</v>
          </cell>
          <cell r="J36">
            <v>10000</v>
          </cell>
          <cell r="P36" t="str">
            <v>32</v>
          </cell>
          <cell r="Q36" t="str">
            <v>52</v>
          </cell>
        </row>
        <row r="37">
          <cell r="C37">
            <v>52</v>
          </cell>
          <cell r="J37">
            <v>5679</v>
          </cell>
          <cell r="P37" t="str">
            <v>31</v>
          </cell>
          <cell r="Q37" t="str">
            <v>52</v>
          </cell>
        </row>
        <row r="38">
          <cell r="C38">
            <v>52</v>
          </cell>
          <cell r="J38">
            <v>937</v>
          </cell>
          <cell r="P38" t="str">
            <v>31</v>
          </cell>
          <cell r="Q38" t="str">
            <v>52</v>
          </cell>
        </row>
        <row r="39">
          <cell r="C39">
            <v>52</v>
          </cell>
          <cell r="J39">
            <v>20000</v>
          </cell>
          <cell r="P39" t="str">
            <v>32</v>
          </cell>
          <cell r="Q39" t="str">
            <v>52</v>
          </cell>
        </row>
        <row r="40">
          <cell r="C40">
            <v>52</v>
          </cell>
          <cell r="J40">
            <v>20000</v>
          </cell>
          <cell r="P40" t="str">
            <v>32</v>
          </cell>
          <cell r="Q40" t="str">
            <v>52</v>
          </cell>
        </row>
        <row r="41">
          <cell r="C41">
            <v>11</v>
          </cell>
          <cell r="J41">
            <v>9291</v>
          </cell>
          <cell r="P41" t="str">
            <v>32</v>
          </cell>
          <cell r="Q41" t="str">
            <v>11</v>
          </cell>
        </row>
        <row r="42">
          <cell r="C42">
            <v>31</v>
          </cell>
          <cell r="J42">
            <v>265</v>
          </cell>
          <cell r="K42">
            <v>232</v>
          </cell>
          <cell r="L42">
            <v>232</v>
          </cell>
          <cell r="P42" t="str">
            <v>31</v>
          </cell>
          <cell r="Q42" t="str">
            <v>31</v>
          </cell>
        </row>
        <row r="43">
          <cell r="C43">
            <v>31</v>
          </cell>
          <cell r="J43">
            <v>462</v>
          </cell>
          <cell r="K43">
            <v>462</v>
          </cell>
          <cell r="L43">
            <v>462</v>
          </cell>
          <cell r="P43" t="str">
            <v>32</v>
          </cell>
          <cell r="Q43" t="str">
            <v>31</v>
          </cell>
        </row>
        <row r="44">
          <cell r="C44">
            <v>31</v>
          </cell>
          <cell r="J44">
            <v>199</v>
          </cell>
          <cell r="P44" t="str">
            <v>32</v>
          </cell>
          <cell r="Q44" t="str">
            <v>31</v>
          </cell>
        </row>
        <row r="45">
          <cell r="C45">
            <v>52</v>
          </cell>
          <cell r="J45">
            <v>15585</v>
          </cell>
          <cell r="K45">
            <v>15585</v>
          </cell>
          <cell r="L45">
            <v>15584</v>
          </cell>
          <cell r="P45" t="str">
            <v>31</v>
          </cell>
          <cell r="Q45" t="str">
            <v>52</v>
          </cell>
        </row>
        <row r="46">
          <cell r="C46">
            <v>52</v>
          </cell>
          <cell r="J46">
            <v>2572</v>
          </cell>
          <cell r="K46">
            <v>2572</v>
          </cell>
          <cell r="L46">
            <v>2572</v>
          </cell>
          <cell r="P46" t="str">
            <v>31</v>
          </cell>
          <cell r="Q46" t="str">
            <v>52</v>
          </cell>
        </row>
        <row r="47">
          <cell r="C47">
            <v>52</v>
          </cell>
          <cell r="J47">
            <v>2787</v>
          </cell>
          <cell r="P47" t="str">
            <v>32</v>
          </cell>
          <cell r="Q47" t="str">
            <v>52</v>
          </cell>
        </row>
        <row r="48">
          <cell r="C48">
            <v>52</v>
          </cell>
          <cell r="J48">
            <v>1327</v>
          </cell>
          <cell r="P48" t="str">
            <v>32</v>
          </cell>
          <cell r="Q48" t="str">
            <v>52</v>
          </cell>
        </row>
        <row r="49">
          <cell r="C49">
            <v>52</v>
          </cell>
          <cell r="J49">
            <v>796</v>
          </cell>
          <cell r="P49" t="str">
            <v>41</v>
          </cell>
          <cell r="Q49" t="str">
            <v>52</v>
          </cell>
        </row>
        <row r="50">
          <cell r="C50">
            <v>52</v>
          </cell>
          <cell r="J50">
            <v>5840</v>
          </cell>
          <cell r="K50">
            <v>13272</v>
          </cell>
          <cell r="P50" t="str">
            <v>42</v>
          </cell>
          <cell r="Q50" t="str">
            <v>52</v>
          </cell>
        </row>
        <row r="51">
          <cell r="C51">
            <v>52</v>
          </cell>
          <cell r="J51">
            <v>4645</v>
          </cell>
          <cell r="P51" t="str">
            <v>42</v>
          </cell>
          <cell r="Q51" t="str">
            <v>52</v>
          </cell>
        </row>
        <row r="52">
          <cell r="C52">
            <v>11</v>
          </cell>
          <cell r="J52">
            <v>924</v>
          </cell>
          <cell r="K52">
            <v>952.29300794628</v>
          </cell>
          <cell r="L52">
            <v>952.29300794628</v>
          </cell>
          <cell r="P52" t="str">
            <v>32</v>
          </cell>
          <cell r="Q52" t="str">
            <v>11</v>
          </cell>
        </row>
        <row r="53">
          <cell r="C53">
            <v>11</v>
          </cell>
          <cell r="J53">
            <v>15928</v>
          </cell>
          <cell r="K53">
            <v>15928</v>
          </cell>
          <cell r="L53">
            <v>15928</v>
          </cell>
          <cell r="P53" t="str">
            <v>32</v>
          </cell>
          <cell r="Q53" t="str">
            <v>11</v>
          </cell>
        </row>
        <row r="54">
          <cell r="C54">
            <v>11</v>
          </cell>
          <cell r="J54">
            <v>3982</v>
          </cell>
          <cell r="K54">
            <v>3982</v>
          </cell>
          <cell r="L54">
            <v>3982</v>
          </cell>
          <cell r="P54" t="str">
            <v>32</v>
          </cell>
          <cell r="Q54" t="str">
            <v>11</v>
          </cell>
        </row>
        <row r="55">
          <cell r="C55">
            <v>11</v>
          </cell>
          <cell r="J55">
            <v>3982</v>
          </cell>
          <cell r="K55">
            <v>3982</v>
          </cell>
          <cell r="L55">
            <v>3982</v>
          </cell>
          <cell r="P55" t="str">
            <v>32</v>
          </cell>
          <cell r="Q55" t="str">
            <v>11</v>
          </cell>
        </row>
        <row r="56">
          <cell r="C56">
            <v>11</v>
          </cell>
          <cell r="J56">
            <v>531</v>
          </cell>
          <cell r="K56">
            <v>531</v>
          </cell>
          <cell r="L56">
            <v>531</v>
          </cell>
          <cell r="P56" t="str">
            <v>32</v>
          </cell>
          <cell r="Q56" t="str">
            <v>11</v>
          </cell>
        </row>
        <row r="57">
          <cell r="C57">
            <v>11</v>
          </cell>
          <cell r="J57">
            <v>8627</v>
          </cell>
          <cell r="K57">
            <v>8627</v>
          </cell>
          <cell r="L57">
            <v>8627</v>
          </cell>
          <cell r="P57" t="str">
            <v>32</v>
          </cell>
          <cell r="Q57" t="str">
            <v>11</v>
          </cell>
        </row>
        <row r="58">
          <cell r="C58">
            <v>11</v>
          </cell>
          <cell r="J58">
            <v>13272</v>
          </cell>
          <cell r="K58">
            <v>13272</v>
          </cell>
          <cell r="L58">
            <v>13272</v>
          </cell>
          <cell r="P58" t="str">
            <v>32</v>
          </cell>
          <cell r="Q58" t="str">
            <v>11</v>
          </cell>
        </row>
        <row r="59">
          <cell r="C59">
            <v>11</v>
          </cell>
          <cell r="J59">
            <v>5309</v>
          </cell>
          <cell r="K59">
            <v>5309</v>
          </cell>
          <cell r="L59">
            <v>5309</v>
          </cell>
          <cell r="P59" t="str">
            <v>32</v>
          </cell>
          <cell r="Q59" t="str">
            <v>11</v>
          </cell>
        </row>
        <row r="60">
          <cell r="C60">
            <v>11</v>
          </cell>
          <cell r="J60">
            <v>796</v>
          </cell>
          <cell r="K60">
            <v>796</v>
          </cell>
          <cell r="L60">
            <v>796</v>
          </cell>
          <cell r="P60" t="str">
            <v>32</v>
          </cell>
          <cell r="Q60" t="str">
            <v>11</v>
          </cell>
        </row>
        <row r="61">
          <cell r="C61">
            <v>11</v>
          </cell>
          <cell r="J61">
            <v>1991</v>
          </cell>
          <cell r="K61">
            <v>1991</v>
          </cell>
          <cell r="L61">
            <v>1991</v>
          </cell>
          <cell r="P61" t="str">
            <v>32</v>
          </cell>
          <cell r="Q61" t="str">
            <v>11</v>
          </cell>
        </row>
        <row r="62">
          <cell r="C62">
            <v>11</v>
          </cell>
          <cell r="J62">
            <v>465</v>
          </cell>
          <cell r="K62">
            <v>465</v>
          </cell>
          <cell r="L62">
            <v>465</v>
          </cell>
          <cell r="P62" t="str">
            <v>32</v>
          </cell>
          <cell r="Q62" t="str">
            <v>11</v>
          </cell>
        </row>
        <row r="63">
          <cell r="C63">
            <v>11</v>
          </cell>
          <cell r="J63">
            <v>39816</v>
          </cell>
          <cell r="K63">
            <v>40347</v>
          </cell>
          <cell r="L63">
            <v>40347</v>
          </cell>
          <cell r="P63" t="str">
            <v>41</v>
          </cell>
          <cell r="Q63" t="str">
            <v>11</v>
          </cell>
        </row>
        <row r="64">
          <cell r="C64">
            <v>11</v>
          </cell>
          <cell r="J64">
            <v>13272</v>
          </cell>
          <cell r="K64">
            <v>13272</v>
          </cell>
          <cell r="L64">
            <v>13272</v>
          </cell>
          <cell r="P64" t="str">
            <v>42</v>
          </cell>
          <cell r="Q64" t="str">
            <v>11</v>
          </cell>
        </row>
        <row r="65">
          <cell r="C65">
            <v>11</v>
          </cell>
          <cell r="J65">
            <v>664</v>
          </cell>
          <cell r="K65">
            <v>664</v>
          </cell>
          <cell r="L65">
            <v>664</v>
          </cell>
          <cell r="P65" t="str">
            <v>42</v>
          </cell>
          <cell r="Q65" t="str">
            <v>11</v>
          </cell>
        </row>
        <row r="66">
          <cell r="C66">
            <v>11</v>
          </cell>
          <cell r="J66">
            <v>1327</v>
          </cell>
          <cell r="K66">
            <v>1327</v>
          </cell>
          <cell r="L66">
            <v>1327</v>
          </cell>
          <cell r="P66" t="str">
            <v>42</v>
          </cell>
          <cell r="Q66" t="str">
            <v>11</v>
          </cell>
        </row>
        <row r="67">
          <cell r="C67">
            <v>11</v>
          </cell>
          <cell r="J67">
            <v>1327</v>
          </cell>
          <cell r="K67">
            <v>1327</v>
          </cell>
          <cell r="L67">
            <v>1327</v>
          </cell>
          <cell r="P67" t="str">
            <v>32</v>
          </cell>
          <cell r="Q67" t="str">
            <v>11</v>
          </cell>
        </row>
        <row r="68">
          <cell r="C68">
            <v>11</v>
          </cell>
          <cell r="J68">
            <v>664</v>
          </cell>
          <cell r="K68">
            <v>664</v>
          </cell>
          <cell r="L68">
            <v>664</v>
          </cell>
          <cell r="P68" t="str">
            <v>32</v>
          </cell>
          <cell r="Q68" t="str">
            <v>11</v>
          </cell>
        </row>
        <row r="69">
          <cell r="C69">
            <v>11</v>
          </cell>
          <cell r="J69">
            <v>2654</v>
          </cell>
          <cell r="K69">
            <v>2654</v>
          </cell>
          <cell r="L69">
            <v>2654</v>
          </cell>
          <cell r="P69" t="str">
            <v>32</v>
          </cell>
          <cell r="Q69" t="str">
            <v>11</v>
          </cell>
        </row>
        <row r="70">
          <cell r="C70">
            <v>11</v>
          </cell>
          <cell r="J70">
            <v>2654</v>
          </cell>
          <cell r="K70">
            <v>2654</v>
          </cell>
          <cell r="L70">
            <v>2654</v>
          </cell>
          <cell r="P70" t="str">
            <v>32</v>
          </cell>
          <cell r="Q70" t="str">
            <v>11</v>
          </cell>
        </row>
        <row r="71">
          <cell r="C71">
            <v>11</v>
          </cell>
          <cell r="J71">
            <v>3590</v>
          </cell>
          <cell r="K71">
            <v>3590</v>
          </cell>
          <cell r="L71">
            <v>3590</v>
          </cell>
          <cell r="P71" t="str">
            <v>32</v>
          </cell>
          <cell r="Q71" t="str">
            <v>11</v>
          </cell>
        </row>
        <row r="72">
          <cell r="C72">
            <v>11</v>
          </cell>
          <cell r="J72">
            <v>3982</v>
          </cell>
          <cell r="K72">
            <v>6636</v>
          </cell>
          <cell r="L72">
            <v>6636</v>
          </cell>
          <cell r="P72" t="str">
            <v>32</v>
          </cell>
          <cell r="Q72" t="str">
            <v>11</v>
          </cell>
        </row>
        <row r="73">
          <cell r="C73">
            <v>11</v>
          </cell>
          <cell r="J73">
            <v>1327</v>
          </cell>
          <cell r="K73">
            <v>5016</v>
          </cell>
          <cell r="L73">
            <v>5016</v>
          </cell>
          <cell r="P73" t="str">
            <v>32</v>
          </cell>
          <cell r="Q73" t="str">
            <v>11</v>
          </cell>
        </row>
        <row r="74">
          <cell r="C74">
            <v>11</v>
          </cell>
          <cell r="J74">
            <v>1327</v>
          </cell>
          <cell r="K74">
            <v>1327</v>
          </cell>
          <cell r="L74">
            <v>1327</v>
          </cell>
          <cell r="P74" t="str">
            <v>32</v>
          </cell>
          <cell r="Q74" t="str">
            <v>11</v>
          </cell>
        </row>
        <row r="75">
          <cell r="C75">
            <v>11</v>
          </cell>
          <cell r="J75">
            <v>13272</v>
          </cell>
          <cell r="K75">
            <v>13272</v>
          </cell>
          <cell r="L75">
            <v>13272</v>
          </cell>
          <cell r="P75" t="str">
            <v>32</v>
          </cell>
          <cell r="Q75" t="str">
            <v>11</v>
          </cell>
        </row>
        <row r="76">
          <cell r="C76">
            <v>11</v>
          </cell>
          <cell r="J76">
            <v>6636</v>
          </cell>
          <cell r="K76">
            <v>6636</v>
          </cell>
          <cell r="L76">
            <v>6636</v>
          </cell>
          <cell r="P76" t="str">
            <v>32</v>
          </cell>
          <cell r="Q76" t="str">
            <v>11</v>
          </cell>
        </row>
        <row r="77">
          <cell r="C77">
            <v>11</v>
          </cell>
          <cell r="J77">
            <v>2654</v>
          </cell>
          <cell r="K77">
            <v>2654</v>
          </cell>
          <cell r="L77">
            <v>2654</v>
          </cell>
          <cell r="P77" t="str">
            <v>42</v>
          </cell>
          <cell r="Q77" t="str">
            <v>11</v>
          </cell>
        </row>
        <row r="78">
          <cell r="C78">
            <v>11</v>
          </cell>
          <cell r="J78">
            <v>3982</v>
          </cell>
          <cell r="K78">
            <v>3982</v>
          </cell>
          <cell r="L78">
            <v>3982</v>
          </cell>
          <cell r="P78" t="str">
            <v>32</v>
          </cell>
          <cell r="Q78" t="str">
            <v>11</v>
          </cell>
        </row>
        <row r="79">
          <cell r="C79">
            <v>11</v>
          </cell>
          <cell r="J79">
            <v>13272</v>
          </cell>
          <cell r="K79">
            <v>13272</v>
          </cell>
          <cell r="L79">
            <v>13272</v>
          </cell>
          <cell r="P79" t="str">
            <v>32</v>
          </cell>
          <cell r="Q79" t="str">
            <v>11</v>
          </cell>
        </row>
        <row r="80">
          <cell r="C80">
            <v>11</v>
          </cell>
          <cell r="J80">
            <v>2654</v>
          </cell>
          <cell r="K80">
            <v>2654</v>
          </cell>
          <cell r="L80">
            <v>2654</v>
          </cell>
          <cell r="P80" t="str">
            <v>32</v>
          </cell>
          <cell r="Q80" t="str">
            <v>11</v>
          </cell>
        </row>
        <row r="81">
          <cell r="C81">
            <v>11</v>
          </cell>
          <cell r="J81">
            <v>3982</v>
          </cell>
          <cell r="K81">
            <v>3982</v>
          </cell>
          <cell r="L81">
            <v>3982</v>
          </cell>
          <cell r="P81" t="str">
            <v>32</v>
          </cell>
          <cell r="Q81" t="str">
            <v>11</v>
          </cell>
        </row>
        <row r="82">
          <cell r="C82">
            <v>11</v>
          </cell>
          <cell r="J82">
            <v>5309</v>
          </cell>
          <cell r="K82">
            <v>5309</v>
          </cell>
          <cell r="L82">
            <v>5309</v>
          </cell>
          <cell r="P82" t="str">
            <v>32</v>
          </cell>
          <cell r="Q82" t="str">
            <v>11</v>
          </cell>
        </row>
        <row r="83">
          <cell r="C83">
            <v>11</v>
          </cell>
          <cell r="J83">
            <v>9291</v>
          </cell>
          <cell r="K83">
            <v>9291</v>
          </cell>
          <cell r="L83">
            <v>9291</v>
          </cell>
          <cell r="P83" t="str">
            <v>42</v>
          </cell>
          <cell r="Q83" t="str">
            <v>11</v>
          </cell>
        </row>
        <row r="84">
          <cell r="C84">
            <v>11</v>
          </cell>
          <cell r="J84">
            <v>30849</v>
          </cell>
          <cell r="K84">
            <v>30849</v>
          </cell>
          <cell r="L84">
            <v>30849</v>
          </cell>
          <cell r="P84" t="str">
            <v>31</v>
          </cell>
          <cell r="Q84" t="str">
            <v>11</v>
          </cell>
        </row>
        <row r="85">
          <cell r="C85">
            <v>11</v>
          </cell>
          <cell r="J85">
            <v>5090</v>
          </cell>
          <cell r="K85">
            <v>5090</v>
          </cell>
          <cell r="L85">
            <v>5090</v>
          </cell>
          <cell r="P85" t="str">
            <v>31</v>
          </cell>
          <cell r="Q85" t="str">
            <v>11</v>
          </cell>
        </row>
        <row r="86">
          <cell r="C86">
            <v>11</v>
          </cell>
          <cell r="J86">
            <v>88525</v>
          </cell>
          <cell r="K86">
            <v>91236</v>
          </cell>
          <cell r="L86">
            <v>91236</v>
          </cell>
          <cell r="P86" t="str">
            <v>32</v>
          </cell>
          <cell r="Q86" t="str">
            <v>11</v>
          </cell>
        </row>
        <row r="87">
          <cell r="C87">
            <v>11</v>
          </cell>
          <cell r="J87">
            <v>21236</v>
          </cell>
          <cell r="K87">
            <v>21886</v>
          </cell>
          <cell r="L87">
            <v>21886</v>
          </cell>
          <cell r="P87" t="str">
            <v>32</v>
          </cell>
          <cell r="Q87" t="str">
            <v>11</v>
          </cell>
        </row>
        <row r="88">
          <cell r="C88">
            <v>11</v>
          </cell>
          <cell r="J88">
            <v>94219</v>
          </cell>
          <cell r="K88">
            <v>97104</v>
          </cell>
          <cell r="L88">
            <v>97104</v>
          </cell>
          <cell r="P88" t="str">
            <v>32</v>
          </cell>
          <cell r="Q88" t="str">
            <v>11</v>
          </cell>
        </row>
        <row r="89">
          <cell r="C89">
            <v>11</v>
          </cell>
          <cell r="J89">
            <v>160618</v>
          </cell>
          <cell r="K89">
            <v>165536</v>
          </cell>
          <cell r="L89">
            <v>165536</v>
          </cell>
          <cell r="P89" t="str">
            <v>32</v>
          </cell>
          <cell r="Q89" t="str">
            <v>11</v>
          </cell>
        </row>
        <row r="90">
          <cell r="C90">
            <v>11</v>
          </cell>
          <cell r="J90">
            <v>85341</v>
          </cell>
          <cell r="K90">
            <v>87954</v>
          </cell>
          <cell r="L90">
            <v>87954</v>
          </cell>
          <cell r="P90" t="str">
            <v>32</v>
          </cell>
          <cell r="Q90" t="str">
            <v>11</v>
          </cell>
        </row>
        <row r="91">
          <cell r="C91">
            <v>11</v>
          </cell>
          <cell r="J91">
            <v>2654</v>
          </cell>
          <cell r="K91">
            <v>2735</v>
          </cell>
          <cell r="L91">
            <v>2735</v>
          </cell>
          <cell r="P91" t="str">
            <v>32</v>
          </cell>
          <cell r="Q91" t="str">
            <v>11</v>
          </cell>
        </row>
        <row r="92">
          <cell r="C92">
            <v>11</v>
          </cell>
          <cell r="J92">
            <v>105116</v>
          </cell>
          <cell r="K92">
            <v>108335</v>
          </cell>
          <cell r="L92">
            <v>108335</v>
          </cell>
          <cell r="P92" t="str">
            <v>32</v>
          </cell>
          <cell r="Q92" t="str">
            <v>11</v>
          </cell>
        </row>
        <row r="93">
          <cell r="C93">
            <v>11</v>
          </cell>
          <cell r="J93">
            <v>91980</v>
          </cell>
          <cell r="K93">
            <v>94796</v>
          </cell>
          <cell r="L93">
            <v>94796</v>
          </cell>
          <cell r="P93" t="str">
            <v>32</v>
          </cell>
          <cell r="Q93" t="str">
            <v>11</v>
          </cell>
        </row>
        <row r="94">
          <cell r="C94">
            <v>11</v>
          </cell>
          <cell r="J94">
            <v>62765</v>
          </cell>
          <cell r="K94">
            <v>64687</v>
          </cell>
          <cell r="L94">
            <v>64687</v>
          </cell>
          <cell r="P94" t="str">
            <v>32</v>
          </cell>
          <cell r="Q94" t="str">
            <v>11</v>
          </cell>
        </row>
        <row r="95">
          <cell r="C95">
            <v>11</v>
          </cell>
          <cell r="J95">
            <v>54815</v>
          </cell>
          <cell r="K95">
            <v>56493</v>
          </cell>
          <cell r="L95">
            <v>56493</v>
          </cell>
          <cell r="P95" t="str">
            <v>32</v>
          </cell>
          <cell r="Q95" t="str">
            <v>11</v>
          </cell>
        </row>
        <row r="96">
          <cell r="C96">
            <v>11</v>
          </cell>
          <cell r="J96">
            <v>119345</v>
          </cell>
          <cell r="K96">
            <v>122999</v>
          </cell>
          <cell r="L96">
            <v>122999</v>
          </cell>
          <cell r="P96" t="str">
            <v>32</v>
          </cell>
          <cell r="Q96" t="str">
            <v>11</v>
          </cell>
        </row>
        <row r="97">
          <cell r="C97">
            <v>11</v>
          </cell>
          <cell r="J97">
            <v>6636</v>
          </cell>
          <cell r="K97">
            <v>6839</v>
          </cell>
          <cell r="L97">
            <v>6839</v>
          </cell>
          <cell r="P97" t="str">
            <v>32</v>
          </cell>
          <cell r="Q97" t="str">
            <v>11</v>
          </cell>
        </row>
        <row r="98">
          <cell r="C98">
            <v>11</v>
          </cell>
          <cell r="J98">
            <v>666919</v>
          </cell>
          <cell r="K98">
            <v>687340</v>
          </cell>
          <cell r="L98">
            <v>687340</v>
          </cell>
          <cell r="P98" t="str">
            <v>32</v>
          </cell>
          <cell r="Q98" t="str">
            <v>11</v>
          </cell>
        </row>
        <row r="99">
          <cell r="C99">
            <v>11</v>
          </cell>
          <cell r="J99">
            <v>57071</v>
          </cell>
          <cell r="K99">
            <v>58819</v>
          </cell>
          <cell r="L99">
            <v>58819</v>
          </cell>
          <cell r="P99" t="str">
            <v>32</v>
          </cell>
          <cell r="Q99" t="str">
            <v>11</v>
          </cell>
        </row>
        <row r="100">
          <cell r="C100">
            <v>11</v>
          </cell>
          <cell r="J100">
            <v>215603</v>
          </cell>
          <cell r="K100">
            <v>222205</v>
          </cell>
          <cell r="L100">
            <v>222205</v>
          </cell>
          <cell r="P100" t="str">
            <v>32</v>
          </cell>
          <cell r="Q100" t="str">
            <v>11</v>
          </cell>
        </row>
        <row r="101">
          <cell r="C101">
            <v>11</v>
          </cell>
          <cell r="J101">
            <v>16457</v>
          </cell>
          <cell r="K101">
            <v>16961</v>
          </cell>
          <cell r="L101">
            <v>16961</v>
          </cell>
          <cell r="P101" t="str">
            <v>32</v>
          </cell>
          <cell r="Q101" t="str">
            <v>11</v>
          </cell>
        </row>
        <row r="102">
          <cell r="C102">
            <v>11</v>
          </cell>
          <cell r="J102">
            <v>6923</v>
          </cell>
          <cell r="K102">
            <v>7135</v>
          </cell>
          <cell r="L102">
            <v>7135</v>
          </cell>
          <cell r="P102" t="str">
            <v>32</v>
          </cell>
          <cell r="Q102" t="str">
            <v>11</v>
          </cell>
        </row>
        <row r="103">
          <cell r="C103">
            <v>11</v>
          </cell>
          <cell r="J103">
            <v>5973</v>
          </cell>
          <cell r="K103">
            <v>6156</v>
          </cell>
          <cell r="L103">
            <v>6156</v>
          </cell>
          <cell r="P103" t="str">
            <v>32</v>
          </cell>
          <cell r="Q103" t="str">
            <v>11</v>
          </cell>
        </row>
        <row r="104">
          <cell r="C104">
            <v>11</v>
          </cell>
          <cell r="J104">
            <v>30526</v>
          </cell>
          <cell r="K104">
            <v>31461</v>
          </cell>
          <cell r="L104">
            <v>31461</v>
          </cell>
          <cell r="P104" t="str">
            <v>32</v>
          </cell>
          <cell r="Q104" t="str">
            <v>11</v>
          </cell>
        </row>
        <row r="105">
          <cell r="C105">
            <v>11</v>
          </cell>
          <cell r="J105">
            <v>33181</v>
          </cell>
          <cell r="K105">
            <v>34197</v>
          </cell>
          <cell r="L105">
            <v>34197</v>
          </cell>
          <cell r="P105" t="str">
            <v>32</v>
          </cell>
          <cell r="Q105" t="str">
            <v>11</v>
          </cell>
        </row>
        <row r="106">
          <cell r="C106">
            <v>11</v>
          </cell>
          <cell r="J106">
            <v>1327</v>
          </cell>
          <cell r="K106">
            <v>1368</v>
          </cell>
          <cell r="L106">
            <v>1368</v>
          </cell>
          <cell r="P106" t="str">
            <v>32</v>
          </cell>
          <cell r="Q106" t="str">
            <v>11</v>
          </cell>
        </row>
        <row r="107">
          <cell r="C107">
            <v>11</v>
          </cell>
          <cell r="J107">
            <v>2654</v>
          </cell>
          <cell r="K107">
            <v>2735</v>
          </cell>
          <cell r="L107">
            <v>2735</v>
          </cell>
          <cell r="P107" t="str">
            <v>32</v>
          </cell>
          <cell r="Q107" t="str">
            <v>11</v>
          </cell>
        </row>
        <row r="108">
          <cell r="C108">
            <v>11</v>
          </cell>
          <cell r="J108">
            <v>664</v>
          </cell>
          <cell r="K108">
            <v>684</v>
          </cell>
          <cell r="L108">
            <v>684</v>
          </cell>
          <cell r="P108" t="str">
            <v>34</v>
          </cell>
          <cell r="Q108" t="str">
            <v>11</v>
          </cell>
        </row>
        <row r="109">
          <cell r="C109">
            <v>11</v>
          </cell>
          <cell r="J109">
            <v>172540</v>
          </cell>
          <cell r="K109">
            <v>177823</v>
          </cell>
          <cell r="L109">
            <v>177823</v>
          </cell>
          <cell r="P109" t="str">
            <v>36</v>
          </cell>
          <cell r="Q109" t="str">
            <v>11</v>
          </cell>
        </row>
        <row r="110">
          <cell r="C110">
            <v>52</v>
          </cell>
          <cell r="J110">
            <v>664</v>
          </cell>
          <cell r="K110">
            <v>664</v>
          </cell>
          <cell r="L110">
            <v>664</v>
          </cell>
          <cell r="P110" t="str">
            <v>32</v>
          </cell>
          <cell r="Q110" t="str">
            <v>52</v>
          </cell>
        </row>
        <row r="111">
          <cell r="C111">
            <v>52</v>
          </cell>
          <cell r="J111">
            <v>25842</v>
          </cell>
          <cell r="K111">
            <v>25842</v>
          </cell>
          <cell r="L111">
            <v>25842</v>
          </cell>
          <cell r="P111" t="str">
            <v>36</v>
          </cell>
          <cell r="Q111" t="str">
            <v>52</v>
          </cell>
        </row>
        <row r="112">
          <cell r="C112">
            <v>52</v>
          </cell>
          <cell r="J112">
            <v>7238</v>
          </cell>
          <cell r="K112">
            <v>7238</v>
          </cell>
          <cell r="L112">
            <v>7238</v>
          </cell>
          <cell r="P112" t="str">
            <v>36</v>
          </cell>
          <cell r="Q112" t="str">
            <v>52</v>
          </cell>
        </row>
        <row r="113">
          <cell r="C113">
            <v>52</v>
          </cell>
          <cell r="J113">
            <v>2289</v>
          </cell>
          <cell r="K113">
            <v>2289</v>
          </cell>
          <cell r="L113">
            <v>2289</v>
          </cell>
          <cell r="P113" t="str">
            <v>36</v>
          </cell>
          <cell r="Q113" t="str">
            <v>52</v>
          </cell>
        </row>
        <row r="114">
          <cell r="C114">
            <v>52</v>
          </cell>
          <cell r="J114">
            <v>15655</v>
          </cell>
          <cell r="K114">
            <v>15655</v>
          </cell>
          <cell r="L114">
            <v>15655</v>
          </cell>
          <cell r="P114" t="str">
            <v>36</v>
          </cell>
          <cell r="Q114" t="str">
            <v>52</v>
          </cell>
        </row>
        <row r="115">
          <cell r="C115">
            <v>52</v>
          </cell>
          <cell r="J115">
            <v>15120</v>
          </cell>
          <cell r="K115">
            <v>15120</v>
          </cell>
          <cell r="L115">
            <v>15120</v>
          </cell>
          <cell r="P115" t="str">
            <v>36</v>
          </cell>
          <cell r="Q115" t="str">
            <v>52</v>
          </cell>
        </row>
        <row r="116">
          <cell r="C116">
            <v>43</v>
          </cell>
          <cell r="J116">
            <v>92460</v>
          </cell>
          <cell r="K116">
            <v>87177</v>
          </cell>
          <cell r="L116">
            <v>87177</v>
          </cell>
          <cell r="P116" t="str">
            <v>36</v>
          </cell>
          <cell r="Q116" t="str">
            <v>43</v>
          </cell>
        </row>
        <row r="117">
          <cell r="C117">
            <v>31</v>
          </cell>
          <cell r="J117">
            <v>96080</v>
          </cell>
          <cell r="K117">
            <v>96080</v>
          </cell>
          <cell r="L117">
            <v>96080</v>
          </cell>
          <cell r="P117" t="str">
            <v>31</v>
          </cell>
          <cell r="Q117" t="str">
            <v>31</v>
          </cell>
        </row>
        <row r="118">
          <cell r="C118">
            <v>31</v>
          </cell>
          <cell r="J118">
            <v>6636</v>
          </cell>
          <cell r="K118">
            <v>6636</v>
          </cell>
          <cell r="L118">
            <v>6636</v>
          </cell>
          <cell r="P118" t="str">
            <v>32</v>
          </cell>
          <cell r="Q118" t="str">
            <v>31</v>
          </cell>
        </row>
        <row r="119">
          <cell r="C119">
            <v>31</v>
          </cell>
          <cell r="J119">
            <v>20439</v>
          </cell>
          <cell r="K119">
            <v>20439</v>
          </cell>
          <cell r="L119">
            <v>20439</v>
          </cell>
          <cell r="P119" t="str">
            <v>32</v>
          </cell>
          <cell r="Q119" t="str">
            <v>31</v>
          </cell>
        </row>
        <row r="120">
          <cell r="C120">
            <v>31</v>
          </cell>
          <cell r="J120">
            <v>144353</v>
          </cell>
          <cell r="K120">
            <v>144353</v>
          </cell>
          <cell r="L120">
            <v>144353</v>
          </cell>
          <cell r="P120" t="str">
            <v>31</v>
          </cell>
          <cell r="Q120" t="str">
            <v>31</v>
          </cell>
        </row>
        <row r="121">
          <cell r="C121">
            <v>31</v>
          </cell>
          <cell r="J121">
            <v>23819</v>
          </cell>
          <cell r="K121">
            <v>23819</v>
          </cell>
          <cell r="L121">
            <v>23819</v>
          </cell>
          <cell r="P121" t="str">
            <v>31</v>
          </cell>
          <cell r="Q121" t="str">
            <v>31</v>
          </cell>
        </row>
        <row r="122">
          <cell r="C122">
            <v>43</v>
          </cell>
          <cell r="J122">
            <v>1163615</v>
          </cell>
          <cell r="K122">
            <v>1163615</v>
          </cell>
          <cell r="L122">
            <v>1163615</v>
          </cell>
          <cell r="P122" t="str">
            <v>31</v>
          </cell>
          <cell r="Q122" t="str">
            <v>43</v>
          </cell>
        </row>
        <row r="123">
          <cell r="C123">
            <v>43</v>
          </cell>
          <cell r="J123">
            <v>184354</v>
          </cell>
          <cell r="K123">
            <v>184354</v>
          </cell>
          <cell r="L123">
            <v>184354</v>
          </cell>
          <cell r="P123" t="str">
            <v>31</v>
          </cell>
          <cell r="Q123" t="str">
            <v>43</v>
          </cell>
        </row>
        <row r="124">
          <cell r="C124">
            <v>43</v>
          </cell>
          <cell r="J124">
            <v>22838</v>
          </cell>
          <cell r="K124">
            <v>22838</v>
          </cell>
          <cell r="L124">
            <v>22838</v>
          </cell>
          <cell r="P124" t="str">
            <v>32</v>
          </cell>
          <cell r="Q124" t="str">
            <v>43</v>
          </cell>
        </row>
        <row r="125">
          <cell r="C125">
            <v>43</v>
          </cell>
          <cell r="J125">
            <v>15794</v>
          </cell>
          <cell r="K125">
            <v>15794</v>
          </cell>
          <cell r="L125">
            <v>15794</v>
          </cell>
          <cell r="P125" t="str">
            <v>32</v>
          </cell>
          <cell r="Q125" t="str">
            <v>43</v>
          </cell>
        </row>
        <row r="126">
          <cell r="C126">
            <v>43</v>
          </cell>
          <cell r="J126">
            <v>14793</v>
          </cell>
          <cell r="K126">
            <v>14793</v>
          </cell>
          <cell r="L126">
            <v>14793</v>
          </cell>
          <cell r="P126" t="str">
            <v>32</v>
          </cell>
          <cell r="Q126" t="str">
            <v>43</v>
          </cell>
        </row>
        <row r="127">
          <cell r="C127">
            <v>43</v>
          </cell>
          <cell r="J127">
            <v>30791</v>
          </cell>
          <cell r="K127">
            <v>30791</v>
          </cell>
          <cell r="L127">
            <v>30791</v>
          </cell>
          <cell r="P127" t="str">
            <v>32</v>
          </cell>
          <cell r="Q127" t="str">
            <v>43</v>
          </cell>
        </row>
        <row r="128">
          <cell r="C128">
            <v>43</v>
          </cell>
          <cell r="J128">
            <v>3981</v>
          </cell>
          <cell r="K128">
            <v>3981</v>
          </cell>
          <cell r="L128">
            <v>3981</v>
          </cell>
          <cell r="P128" t="str">
            <v>32</v>
          </cell>
          <cell r="Q128" t="str">
            <v>43</v>
          </cell>
        </row>
        <row r="129">
          <cell r="C129">
            <v>43</v>
          </cell>
          <cell r="J129">
            <v>1327</v>
          </cell>
          <cell r="K129">
            <v>1327</v>
          </cell>
          <cell r="L129">
            <v>1327</v>
          </cell>
          <cell r="P129" t="str">
            <v>32</v>
          </cell>
          <cell r="Q129" t="str">
            <v>43</v>
          </cell>
        </row>
        <row r="130">
          <cell r="C130">
            <v>43</v>
          </cell>
          <cell r="J130">
            <v>19908</v>
          </cell>
          <cell r="K130">
            <v>19908</v>
          </cell>
          <cell r="L130">
            <v>19908</v>
          </cell>
          <cell r="P130" t="str">
            <v>32</v>
          </cell>
          <cell r="Q130" t="str">
            <v>43</v>
          </cell>
        </row>
        <row r="131">
          <cell r="C131">
            <v>43</v>
          </cell>
          <cell r="J131">
            <v>46452</v>
          </cell>
          <cell r="K131">
            <v>46452</v>
          </cell>
          <cell r="L131">
            <v>46452</v>
          </cell>
          <cell r="P131" t="str">
            <v>32</v>
          </cell>
          <cell r="Q131" t="str">
            <v>43</v>
          </cell>
        </row>
        <row r="132">
          <cell r="C132">
            <v>43</v>
          </cell>
          <cell r="J132">
            <v>9290</v>
          </cell>
          <cell r="K132">
            <v>9290</v>
          </cell>
          <cell r="L132">
            <v>9290</v>
          </cell>
          <cell r="P132" t="str">
            <v>32</v>
          </cell>
          <cell r="Q132" t="str">
            <v>43</v>
          </cell>
        </row>
        <row r="133">
          <cell r="C133">
            <v>43</v>
          </cell>
          <cell r="J133">
            <v>11945</v>
          </cell>
          <cell r="K133">
            <v>11945</v>
          </cell>
          <cell r="L133">
            <v>11945</v>
          </cell>
          <cell r="P133" t="str">
            <v>32</v>
          </cell>
          <cell r="Q133" t="str">
            <v>43</v>
          </cell>
        </row>
        <row r="134">
          <cell r="C134">
            <v>43</v>
          </cell>
          <cell r="J134">
            <v>55079</v>
          </cell>
          <cell r="K134">
            <v>55079</v>
          </cell>
          <cell r="L134">
            <v>55079</v>
          </cell>
          <cell r="P134" t="str">
            <v>32</v>
          </cell>
          <cell r="Q134" t="str">
            <v>43</v>
          </cell>
        </row>
        <row r="135">
          <cell r="C135">
            <v>43</v>
          </cell>
          <cell r="J135">
            <v>250000</v>
          </cell>
          <cell r="K135">
            <v>250000</v>
          </cell>
          <cell r="L135">
            <v>250000</v>
          </cell>
          <cell r="P135" t="str">
            <v>32</v>
          </cell>
          <cell r="Q135" t="str">
            <v>43</v>
          </cell>
        </row>
        <row r="136">
          <cell r="C136">
            <v>43</v>
          </cell>
          <cell r="J136">
            <v>6636</v>
          </cell>
          <cell r="K136">
            <v>6636</v>
          </cell>
          <cell r="L136">
            <v>6636</v>
          </cell>
          <cell r="P136" t="str">
            <v>32</v>
          </cell>
          <cell r="Q136" t="str">
            <v>43</v>
          </cell>
        </row>
        <row r="137">
          <cell r="C137">
            <v>43</v>
          </cell>
          <cell r="J137">
            <v>28000</v>
          </cell>
          <cell r="K137">
            <v>28000</v>
          </cell>
          <cell r="L137">
            <v>28000</v>
          </cell>
          <cell r="P137" t="str">
            <v>32</v>
          </cell>
          <cell r="Q137" t="str">
            <v>43</v>
          </cell>
        </row>
        <row r="138">
          <cell r="C138">
            <v>43</v>
          </cell>
          <cell r="J138">
            <v>13272</v>
          </cell>
          <cell r="K138">
            <v>13272</v>
          </cell>
          <cell r="L138">
            <v>13272</v>
          </cell>
          <cell r="P138" t="str">
            <v>32</v>
          </cell>
          <cell r="Q138" t="str">
            <v>43</v>
          </cell>
        </row>
        <row r="139">
          <cell r="C139">
            <v>43</v>
          </cell>
          <cell r="J139">
            <v>8653</v>
          </cell>
          <cell r="K139">
            <v>8653</v>
          </cell>
          <cell r="L139">
            <v>8653</v>
          </cell>
          <cell r="P139" t="str">
            <v>32</v>
          </cell>
          <cell r="Q139" t="str">
            <v>43</v>
          </cell>
        </row>
        <row r="140">
          <cell r="C140">
            <v>43</v>
          </cell>
          <cell r="J140">
            <v>1327</v>
          </cell>
          <cell r="K140">
            <v>1327</v>
          </cell>
          <cell r="L140">
            <v>1327</v>
          </cell>
          <cell r="P140" t="str">
            <v>32</v>
          </cell>
          <cell r="Q140" t="str">
            <v>43</v>
          </cell>
        </row>
        <row r="141">
          <cell r="C141">
            <v>43</v>
          </cell>
          <cell r="J141">
            <v>10617</v>
          </cell>
          <cell r="K141">
            <v>10617</v>
          </cell>
          <cell r="L141">
            <v>10617</v>
          </cell>
          <cell r="P141" t="str">
            <v>32</v>
          </cell>
          <cell r="Q141" t="str">
            <v>43</v>
          </cell>
        </row>
        <row r="142">
          <cell r="C142">
            <v>43</v>
          </cell>
          <cell r="J142">
            <v>21235</v>
          </cell>
          <cell r="K142">
            <v>21235</v>
          </cell>
          <cell r="L142">
            <v>21235</v>
          </cell>
          <cell r="P142" t="str">
            <v>32</v>
          </cell>
          <cell r="Q142" t="str">
            <v>43</v>
          </cell>
        </row>
        <row r="143">
          <cell r="C143">
            <v>43</v>
          </cell>
          <cell r="J143">
            <v>3981</v>
          </cell>
          <cell r="K143">
            <v>3981</v>
          </cell>
          <cell r="L143">
            <v>3981</v>
          </cell>
          <cell r="P143" t="str">
            <v>32</v>
          </cell>
          <cell r="Q143" t="str">
            <v>43</v>
          </cell>
        </row>
        <row r="144">
          <cell r="C144">
            <v>43</v>
          </cell>
          <cell r="J144">
            <v>4645</v>
          </cell>
          <cell r="K144">
            <v>4645</v>
          </cell>
          <cell r="L144">
            <v>4645</v>
          </cell>
          <cell r="P144" t="str">
            <v>32</v>
          </cell>
          <cell r="Q144" t="str">
            <v>43</v>
          </cell>
        </row>
        <row r="145">
          <cell r="C145">
            <v>43</v>
          </cell>
          <cell r="J145">
            <v>15000</v>
          </cell>
          <cell r="K145">
            <v>15000</v>
          </cell>
          <cell r="L145">
            <v>15000</v>
          </cell>
          <cell r="P145" t="str">
            <v>34</v>
          </cell>
          <cell r="Q145" t="str">
            <v>43</v>
          </cell>
        </row>
        <row r="146">
          <cell r="C146">
            <v>43</v>
          </cell>
          <cell r="J146">
            <v>7386</v>
          </cell>
          <cell r="K146">
            <v>7386</v>
          </cell>
          <cell r="L146">
            <v>7386</v>
          </cell>
          <cell r="P146" t="str">
            <v>34</v>
          </cell>
          <cell r="Q146" t="str">
            <v>43</v>
          </cell>
        </row>
        <row r="147">
          <cell r="C147">
            <v>43</v>
          </cell>
          <cell r="J147">
            <v>2654</v>
          </cell>
          <cell r="K147">
            <v>2654</v>
          </cell>
          <cell r="L147">
            <v>2654</v>
          </cell>
          <cell r="P147" t="str">
            <v>34</v>
          </cell>
          <cell r="Q147" t="str">
            <v>43</v>
          </cell>
        </row>
        <row r="148">
          <cell r="C148">
            <v>43</v>
          </cell>
          <cell r="J148">
            <v>1990</v>
          </cell>
          <cell r="K148">
            <v>1990</v>
          </cell>
          <cell r="L148">
            <v>1990</v>
          </cell>
          <cell r="P148" t="str">
            <v>37</v>
          </cell>
          <cell r="Q148" t="str">
            <v>43</v>
          </cell>
        </row>
        <row r="149">
          <cell r="C149">
            <v>43</v>
          </cell>
          <cell r="J149">
            <v>430000</v>
          </cell>
          <cell r="K149">
            <v>430000</v>
          </cell>
          <cell r="L149">
            <v>430000</v>
          </cell>
          <cell r="P149" t="str">
            <v>38</v>
          </cell>
          <cell r="Q149" t="str">
            <v>43</v>
          </cell>
        </row>
        <row r="150">
          <cell r="C150">
            <v>43</v>
          </cell>
          <cell r="J150">
            <v>6636</v>
          </cell>
          <cell r="K150">
            <v>6636</v>
          </cell>
          <cell r="L150">
            <v>6636</v>
          </cell>
          <cell r="P150" t="str">
            <v>41</v>
          </cell>
          <cell r="Q150" t="str">
            <v>43</v>
          </cell>
        </row>
        <row r="151">
          <cell r="C151">
            <v>43</v>
          </cell>
          <cell r="J151">
            <v>205056</v>
          </cell>
          <cell r="P151" t="str">
            <v>41</v>
          </cell>
          <cell r="Q151" t="str">
            <v>43</v>
          </cell>
        </row>
        <row r="152">
          <cell r="C152">
            <v>43</v>
          </cell>
          <cell r="J152">
            <v>13272</v>
          </cell>
          <cell r="K152">
            <v>13272</v>
          </cell>
          <cell r="L152">
            <v>13272</v>
          </cell>
          <cell r="P152" t="str">
            <v>42</v>
          </cell>
          <cell r="Q152" t="str">
            <v>43</v>
          </cell>
        </row>
        <row r="153">
          <cell r="C153">
            <v>43</v>
          </cell>
          <cell r="J153">
            <v>19908</v>
          </cell>
          <cell r="K153">
            <v>19908</v>
          </cell>
          <cell r="L153">
            <v>19908</v>
          </cell>
          <cell r="P153" t="str">
            <v>42</v>
          </cell>
          <cell r="Q153" t="str">
            <v>43</v>
          </cell>
        </row>
        <row r="154">
          <cell r="C154">
            <v>43</v>
          </cell>
          <cell r="J154">
            <v>5308</v>
          </cell>
          <cell r="K154">
            <v>5308</v>
          </cell>
          <cell r="L154">
            <v>5308</v>
          </cell>
          <cell r="P154" t="str">
            <v>42</v>
          </cell>
          <cell r="Q154" t="str">
            <v>43</v>
          </cell>
        </row>
        <row r="155">
          <cell r="C155">
            <v>43</v>
          </cell>
          <cell r="J155">
            <v>7963</v>
          </cell>
          <cell r="K155">
            <v>7963</v>
          </cell>
          <cell r="L155">
            <v>7963</v>
          </cell>
          <cell r="P155" t="str">
            <v>42</v>
          </cell>
          <cell r="Q155" t="str">
            <v>43</v>
          </cell>
        </row>
        <row r="156">
          <cell r="C156">
            <v>43</v>
          </cell>
          <cell r="J156">
            <v>16560</v>
          </cell>
          <cell r="K156">
            <v>16560</v>
          </cell>
          <cell r="L156">
            <v>16560</v>
          </cell>
          <cell r="P156" t="str">
            <v>42</v>
          </cell>
          <cell r="Q156" t="str">
            <v>43</v>
          </cell>
        </row>
        <row r="157">
          <cell r="C157">
            <v>43</v>
          </cell>
          <cell r="J157">
            <v>2654</v>
          </cell>
          <cell r="K157">
            <v>2654</v>
          </cell>
          <cell r="L157">
            <v>2654</v>
          </cell>
          <cell r="P157" t="str">
            <v>42</v>
          </cell>
          <cell r="Q157" t="str">
            <v>43</v>
          </cell>
        </row>
        <row r="158">
          <cell r="C158">
            <v>43</v>
          </cell>
          <cell r="J158">
            <v>3981</v>
          </cell>
          <cell r="K158">
            <v>3981</v>
          </cell>
          <cell r="L158">
            <v>3981</v>
          </cell>
          <cell r="P158" t="str">
            <v>42</v>
          </cell>
          <cell r="Q158" t="str">
            <v>43</v>
          </cell>
        </row>
        <row r="159">
          <cell r="C159">
            <v>43</v>
          </cell>
          <cell r="J159">
            <v>243812</v>
          </cell>
          <cell r="K159">
            <v>285354</v>
          </cell>
          <cell r="L159">
            <v>268764</v>
          </cell>
          <cell r="P159" t="str">
            <v>45</v>
          </cell>
          <cell r="Q159" t="str">
            <v>43</v>
          </cell>
        </row>
        <row r="160">
          <cell r="C160">
            <v>43</v>
          </cell>
          <cell r="J160">
            <v>290208</v>
          </cell>
          <cell r="P160" t="str">
            <v>42</v>
          </cell>
          <cell r="Q160" t="str">
            <v>43</v>
          </cell>
        </row>
        <row r="161">
          <cell r="P161" t="str">
            <v/>
          </cell>
          <cell r="Q161" t="str">
            <v/>
          </cell>
        </row>
        <row r="162">
          <cell r="P162" t="str">
            <v/>
          </cell>
          <cell r="Q162" t="str">
            <v/>
          </cell>
        </row>
        <row r="163">
          <cell r="P163" t="str">
            <v/>
          </cell>
          <cell r="Q163" t="str">
            <v/>
          </cell>
        </row>
        <row r="164">
          <cell r="P164" t="str">
            <v/>
          </cell>
          <cell r="Q164" t="str">
            <v/>
          </cell>
        </row>
        <row r="165">
          <cell r="P165" t="str">
            <v/>
          </cell>
          <cell r="Q165" t="str">
            <v/>
          </cell>
        </row>
        <row r="166">
          <cell r="P166" t="str">
            <v/>
          </cell>
          <cell r="Q166" t="str">
            <v/>
          </cell>
        </row>
        <row r="167">
          <cell r="P167" t="str">
            <v/>
          </cell>
          <cell r="Q167" t="str">
            <v/>
          </cell>
        </row>
        <row r="168">
          <cell r="P168" t="str">
            <v/>
          </cell>
          <cell r="Q168" t="str">
            <v/>
          </cell>
        </row>
        <row r="169">
          <cell r="P169" t="str">
            <v/>
          </cell>
          <cell r="Q169" t="str">
            <v/>
          </cell>
        </row>
        <row r="170">
          <cell r="P170" t="str">
            <v/>
          </cell>
          <cell r="Q170" t="str">
            <v/>
          </cell>
        </row>
        <row r="171">
          <cell r="P171" t="str">
            <v/>
          </cell>
          <cell r="Q171" t="str">
            <v/>
          </cell>
        </row>
        <row r="172">
          <cell r="P172" t="str">
            <v/>
          </cell>
          <cell r="Q172" t="str">
            <v/>
          </cell>
        </row>
        <row r="173">
          <cell r="P173" t="str">
            <v/>
          </cell>
          <cell r="Q173" t="str">
            <v/>
          </cell>
        </row>
        <row r="174">
          <cell r="P174" t="str">
            <v/>
          </cell>
          <cell r="Q174" t="str">
            <v/>
          </cell>
        </row>
        <row r="175">
          <cell r="P175" t="str">
            <v/>
          </cell>
          <cell r="Q175" t="str">
            <v/>
          </cell>
        </row>
        <row r="176">
          <cell r="P176" t="str">
            <v/>
          </cell>
          <cell r="Q176" t="str">
            <v/>
          </cell>
        </row>
        <row r="177">
          <cell r="P177" t="str">
            <v/>
          </cell>
          <cell r="Q177" t="str">
            <v/>
          </cell>
        </row>
        <row r="178">
          <cell r="P178" t="str">
            <v/>
          </cell>
          <cell r="Q178" t="str">
            <v/>
          </cell>
        </row>
        <row r="179">
          <cell r="P179" t="str">
            <v/>
          </cell>
          <cell r="Q179" t="str">
            <v/>
          </cell>
        </row>
        <row r="180">
          <cell r="P180" t="str">
            <v/>
          </cell>
          <cell r="Q180" t="str">
            <v/>
          </cell>
        </row>
        <row r="181">
          <cell r="P181" t="str">
            <v/>
          </cell>
          <cell r="Q181" t="str">
            <v/>
          </cell>
        </row>
        <row r="182">
          <cell r="P182" t="str">
            <v/>
          </cell>
          <cell r="Q182" t="str">
            <v/>
          </cell>
        </row>
        <row r="183">
          <cell r="P183" t="str">
            <v/>
          </cell>
          <cell r="Q183" t="str">
            <v/>
          </cell>
        </row>
        <row r="184">
          <cell r="P184" t="str">
            <v/>
          </cell>
          <cell r="Q184" t="str">
            <v/>
          </cell>
        </row>
        <row r="185">
          <cell r="P185" t="str">
            <v/>
          </cell>
          <cell r="Q185" t="str">
            <v/>
          </cell>
        </row>
        <row r="186">
          <cell r="P186" t="str">
            <v/>
          </cell>
          <cell r="Q186" t="str">
            <v/>
          </cell>
        </row>
        <row r="187">
          <cell r="P187" t="str">
            <v/>
          </cell>
          <cell r="Q187" t="str">
            <v/>
          </cell>
        </row>
        <row r="188">
          <cell r="P188" t="str">
            <v/>
          </cell>
          <cell r="Q188" t="str">
            <v/>
          </cell>
        </row>
        <row r="189">
          <cell r="P189" t="str">
            <v/>
          </cell>
          <cell r="Q189" t="str">
            <v/>
          </cell>
        </row>
        <row r="190">
          <cell r="P190" t="str">
            <v/>
          </cell>
          <cell r="Q190" t="str">
            <v/>
          </cell>
        </row>
        <row r="191">
          <cell r="P191" t="str">
            <v/>
          </cell>
          <cell r="Q191" t="str">
            <v/>
          </cell>
        </row>
        <row r="192">
          <cell r="P192" t="str">
            <v/>
          </cell>
          <cell r="Q192" t="str">
            <v/>
          </cell>
        </row>
        <row r="193">
          <cell r="P193" t="str">
            <v/>
          </cell>
          <cell r="Q193" t="str">
            <v/>
          </cell>
        </row>
        <row r="194">
          <cell r="P194" t="str">
            <v/>
          </cell>
          <cell r="Q194" t="str">
            <v/>
          </cell>
        </row>
        <row r="195">
          <cell r="P195" t="str">
            <v/>
          </cell>
          <cell r="Q195" t="str">
            <v/>
          </cell>
        </row>
        <row r="196">
          <cell r="P196" t="str">
            <v/>
          </cell>
          <cell r="Q196" t="str">
            <v/>
          </cell>
        </row>
        <row r="197">
          <cell r="P197" t="str">
            <v/>
          </cell>
          <cell r="Q197" t="str">
            <v/>
          </cell>
        </row>
        <row r="198">
          <cell r="P198" t="str">
            <v/>
          </cell>
          <cell r="Q198" t="str">
            <v/>
          </cell>
        </row>
        <row r="199">
          <cell r="P199" t="str">
            <v/>
          </cell>
          <cell r="Q199" t="str">
            <v/>
          </cell>
        </row>
        <row r="200">
          <cell r="P200" t="str">
            <v/>
          </cell>
          <cell r="Q200" t="str">
            <v/>
          </cell>
        </row>
        <row r="201">
          <cell r="P201" t="str">
            <v/>
          </cell>
          <cell r="Q201" t="str">
            <v/>
          </cell>
        </row>
        <row r="202">
          <cell r="P202" t="str">
            <v/>
          </cell>
          <cell r="Q202" t="str">
            <v/>
          </cell>
        </row>
        <row r="203">
          <cell r="P203" t="str">
            <v/>
          </cell>
          <cell r="Q203" t="str">
            <v/>
          </cell>
        </row>
        <row r="204">
          <cell r="P204" t="str">
            <v/>
          </cell>
          <cell r="Q204" t="str">
            <v/>
          </cell>
        </row>
        <row r="205">
          <cell r="P205" t="str">
            <v/>
          </cell>
          <cell r="Q205" t="str">
            <v/>
          </cell>
        </row>
        <row r="206">
          <cell r="P206" t="str">
            <v/>
          </cell>
          <cell r="Q206" t="str">
            <v/>
          </cell>
        </row>
        <row r="207">
          <cell r="P207" t="str">
            <v/>
          </cell>
          <cell r="Q207" t="str">
            <v/>
          </cell>
        </row>
        <row r="208">
          <cell r="P208" t="str">
            <v/>
          </cell>
          <cell r="Q208" t="str">
            <v/>
          </cell>
        </row>
        <row r="209">
          <cell r="P209" t="str">
            <v/>
          </cell>
          <cell r="Q209" t="str">
            <v/>
          </cell>
        </row>
        <row r="210">
          <cell r="P210" t="str">
            <v/>
          </cell>
          <cell r="Q210" t="str">
            <v/>
          </cell>
        </row>
        <row r="211">
          <cell r="P211" t="str">
            <v/>
          </cell>
          <cell r="Q211" t="str">
            <v/>
          </cell>
        </row>
        <row r="212">
          <cell r="P212" t="str">
            <v/>
          </cell>
          <cell r="Q212" t="str">
            <v/>
          </cell>
        </row>
        <row r="213">
          <cell r="P213" t="str">
            <v/>
          </cell>
          <cell r="Q213" t="str">
            <v/>
          </cell>
        </row>
        <row r="214">
          <cell r="P214" t="str">
            <v/>
          </cell>
          <cell r="Q214" t="str">
            <v/>
          </cell>
        </row>
        <row r="215">
          <cell r="P215" t="str">
            <v/>
          </cell>
          <cell r="Q215" t="str">
            <v/>
          </cell>
        </row>
        <row r="216">
          <cell r="P216" t="str">
            <v/>
          </cell>
          <cell r="Q216" t="str">
            <v/>
          </cell>
        </row>
        <row r="217">
          <cell r="P217" t="str">
            <v/>
          </cell>
          <cell r="Q217" t="str">
            <v/>
          </cell>
        </row>
        <row r="218">
          <cell r="P218" t="str">
            <v/>
          </cell>
          <cell r="Q218" t="str">
            <v/>
          </cell>
        </row>
        <row r="219">
          <cell r="P219" t="str">
            <v/>
          </cell>
          <cell r="Q219" t="str">
            <v/>
          </cell>
        </row>
        <row r="220">
          <cell r="P220" t="str">
            <v/>
          </cell>
          <cell r="Q220" t="str">
            <v/>
          </cell>
        </row>
        <row r="221">
          <cell r="P221" t="str">
            <v/>
          </cell>
          <cell r="Q221" t="str">
            <v/>
          </cell>
        </row>
        <row r="222">
          <cell r="P222" t="str">
            <v/>
          </cell>
          <cell r="Q222" t="str">
            <v/>
          </cell>
        </row>
        <row r="223">
          <cell r="P223" t="str">
            <v/>
          </cell>
          <cell r="Q223" t="str">
            <v/>
          </cell>
        </row>
        <row r="224">
          <cell r="P224" t="str">
            <v/>
          </cell>
          <cell r="Q224" t="str">
            <v/>
          </cell>
        </row>
        <row r="225">
          <cell r="P225" t="str">
            <v/>
          </cell>
          <cell r="Q225" t="str">
            <v/>
          </cell>
        </row>
        <row r="226">
          <cell r="P226" t="str">
            <v/>
          </cell>
          <cell r="Q226" t="str">
            <v/>
          </cell>
        </row>
        <row r="227">
          <cell r="P227" t="str">
            <v/>
          </cell>
          <cell r="Q227" t="str">
            <v/>
          </cell>
        </row>
        <row r="228">
          <cell r="P228" t="str">
            <v/>
          </cell>
          <cell r="Q228" t="str">
            <v/>
          </cell>
        </row>
        <row r="229">
          <cell r="P229" t="str">
            <v/>
          </cell>
          <cell r="Q229" t="str">
            <v/>
          </cell>
        </row>
        <row r="230">
          <cell r="P230" t="str">
            <v/>
          </cell>
          <cell r="Q230" t="str">
            <v/>
          </cell>
        </row>
        <row r="231">
          <cell r="P231" t="str">
            <v/>
          </cell>
          <cell r="Q231" t="str">
            <v/>
          </cell>
        </row>
        <row r="232">
          <cell r="P232" t="str">
            <v/>
          </cell>
          <cell r="Q232" t="str">
            <v/>
          </cell>
        </row>
        <row r="233">
          <cell r="P233" t="str">
            <v/>
          </cell>
          <cell r="Q233" t="str">
            <v/>
          </cell>
        </row>
        <row r="234">
          <cell r="P234" t="str">
            <v/>
          </cell>
          <cell r="Q234" t="str">
            <v/>
          </cell>
        </row>
        <row r="235">
          <cell r="P235" t="str">
            <v/>
          </cell>
          <cell r="Q235" t="str">
            <v/>
          </cell>
        </row>
        <row r="236">
          <cell r="P236" t="str">
            <v/>
          </cell>
          <cell r="Q236" t="str">
            <v/>
          </cell>
        </row>
        <row r="237">
          <cell r="P237" t="str">
            <v/>
          </cell>
          <cell r="Q237" t="str">
            <v/>
          </cell>
        </row>
        <row r="238">
          <cell r="P238" t="str">
            <v/>
          </cell>
          <cell r="Q238" t="str">
            <v/>
          </cell>
        </row>
        <row r="239">
          <cell r="P239" t="str">
            <v/>
          </cell>
          <cell r="Q239" t="str">
            <v/>
          </cell>
        </row>
        <row r="240">
          <cell r="P240" t="str">
            <v/>
          </cell>
          <cell r="Q240" t="str">
            <v/>
          </cell>
        </row>
        <row r="241">
          <cell r="P241" t="str">
            <v/>
          </cell>
          <cell r="Q241" t="str">
            <v/>
          </cell>
        </row>
        <row r="242">
          <cell r="P242" t="str">
            <v/>
          </cell>
          <cell r="Q242" t="str">
            <v/>
          </cell>
        </row>
        <row r="243">
          <cell r="P243" t="str">
            <v/>
          </cell>
          <cell r="Q243" t="str">
            <v/>
          </cell>
        </row>
        <row r="244">
          <cell r="P244" t="str">
            <v/>
          </cell>
          <cell r="Q244" t="str">
            <v/>
          </cell>
        </row>
        <row r="245">
          <cell r="P245" t="str">
            <v/>
          </cell>
          <cell r="Q245" t="str">
            <v/>
          </cell>
        </row>
        <row r="246">
          <cell r="P246" t="str">
            <v/>
          </cell>
          <cell r="Q246" t="str">
            <v/>
          </cell>
        </row>
        <row r="247">
          <cell r="P247" t="str">
            <v/>
          </cell>
          <cell r="Q247" t="str">
            <v/>
          </cell>
        </row>
        <row r="248">
          <cell r="P248" t="str">
            <v/>
          </cell>
          <cell r="Q248" t="str">
            <v/>
          </cell>
        </row>
        <row r="249">
          <cell r="P249" t="str">
            <v/>
          </cell>
          <cell r="Q249" t="str">
            <v/>
          </cell>
        </row>
        <row r="250">
          <cell r="P250" t="str">
            <v/>
          </cell>
          <cell r="Q250" t="str">
            <v/>
          </cell>
        </row>
        <row r="251">
          <cell r="P251" t="str">
            <v/>
          </cell>
          <cell r="Q251" t="str">
            <v/>
          </cell>
        </row>
        <row r="252">
          <cell r="P252" t="str">
            <v/>
          </cell>
          <cell r="Q252" t="str">
            <v/>
          </cell>
        </row>
        <row r="253">
          <cell r="P253" t="str">
            <v/>
          </cell>
          <cell r="Q253" t="str">
            <v/>
          </cell>
        </row>
        <row r="254">
          <cell r="P254" t="str">
            <v/>
          </cell>
          <cell r="Q254" t="str">
            <v/>
          </cell>
        </row>
        <row r="255">
          <cell r="P255" t="str">
            <v/>
          </cell>
          <cell r="Q255" t="str">
            <v/>
          </cell>
        </row>
        <row r="256">
          <cell r="P256" t="str">
            <v/>
          </cell>
          <cell r="Q256" t="str">
            <v/>
          </cell>
        </row>
        <row r="257">
          <cell r="P257" t="str">
            <v/>
          </cell>
          <cell r="Q257" t="str">
            <v/>
          </cell>
        </row>
        <row r="258">
          <cell r="P258" t="str">
            <v/>
          </cell>
          <cell r="Q258" t="str">
            <v/>
          </cell>
        </row>
        <row r="259">
          <cell r="P259" t="str">
            <v/>
          </cell>
          <cell r="Q259" t="str">
            <v/>
          </cell>
        </row>
        <row r="260">
          <cell r="P260" t="str">
            <v/>
          </cell>
          <cell r="Q260" t="str">
            <v/>
          </cell>
        </row>
        <row r="261">
          <cell r="P261" t="str">
            <v/>
          </cell>
          <cell r="Q261" t="str">
            <v/>
          </cell>
        </row>
        <row r="262">
          <cell r="P262" t="str">
            <v/>
          </cell>
          <cell r="Q262" t="str">
            <v/>
          </cell>
        </row>
        <row r="263">
          <cell r="P263" t="str">
            <v/>
          </cell>
          <cell r="Q263" t="str">
            <v/>
          </cell>
        </row>
        <row r="264">
          <cell r="P264" t="str">
            <v/>
          </cell>
          <cell r="Q264" t="str">
            <v/>
          </cell>
        </row>
        <row r="265">
          <cell r="P265" t="str">
            <v/>
          </cell>
          <cell r="Q265" t="str">
            <v/>
          </cell>
        </row>
        <row r="266">
          <cell r="P266" t="str">
            <v/>
          </cell>
          <cell r="Q266" t="str">
            <v/>
          </cell>
        </row>
        <row r="267">
          <cell r="P267" t="str">
            <v/>
          </cell>
          <cell r="Q267" t="str">
            <v/>
          </cell>
        </row>
        <row r="268">
          <cell r="P268" t="str">
            <v/>
          </cell>
          <cell r="Q268" t="str">
            <v/>
          </cell>
        </row>
        <row r="269">
          <cell r="P269" t="str">
            <v/>
          </cell>
          <cell r="Q269" t="str">
            <v/>
          </cell>
        </row>
        <row r="270">
          <cell r="P270" t="str">
            <v/>
          </cell>
          <cell r="Q270" t="str">
            <v/>
          </cell>
        </row>
        <row r="271">
          <cell r="P271" t="str">
            <v/>
          </cell>
          <cell r="Q271" t="str">
            <v/>
          </cell>
        </row>
        <row r="272">
          <cell r="P272" t="str">
            <v/>
          </cell>
          <cell r="Q272" t="str">
            <v/>
          </cell>
        </row>
        <row r="273">
          <cell r="P273" t="str">
            <v/>
          </cell>
          <cell r="Q273" t="str">
            <v/>
          </cell>
        </row>
        <row r="274">
          <cell r="P274" t="str">
            <v/>
          </cell>
          <cell r="Q274" t="str">
            <v/>
          </cell>
        </row>
        <row r="275">
          <cell r="P275" t="str">
            <v/>
          </cell>
          <cell r="Q275" t="str">
            <v/>
          </cell>
        </row>
        <row r="276">
          <cell r="P276" t="str">
            <v/>
          </cell>
          <cell r="Q276" t="str">
            <v/>
          </cell>
        </row>
        <row r="277">
          <cell r="P277" t="str">
            <v/>
          </cell>
          <cell r="Q277" t="str">
            <v/>
          </cell>
        </row>
        <row r="278">
          <cell r="P278" t="str">
            <v/>
          </cell>
          <cell r="Q278" t="str">
            <v/>
          </cell>
        </row>
        <row r="279">
          <cell r="P279" t="str">
            <v/>
          </cell>
          <cell r="Q279" t="str">
            <v/>
          </cell>
        </row>
        <row r="280">
          <cell r="P280" t="str">
            <v/>
          </cell>
          <cell r="Q280" t="str">
            <v/>
          </cell>
        </row>
        <row r="281">
          <cell r="P281" t="str">
            <v/>
          </cell>
          <cell r="Q281" t="str">
            <v/>
          </cell>
        </row>
        <row r="282">
          <cell r="P282" t="str">
            <v/>
          </cell>
          <cell r="Q282" t="str">
            <v/>
          </cell>
        </row>
        <row r="283">
          <cell r="P283" t="str">
            <v/>
          </cell>
          <cell r="Q283" t="str">
            <v/>
          </cell>
        </row>
        <row r="284">
          <cell r="P284" t="str">
            <v/>
          </cell>
          <cell r="Q284" t="str">
            <v/>
          </cell>
        </row>
        <row r="285">
          <cell r="P285" t="str">
            <v/>
          </cell>
          <cell r="Q285" t="str">
            <v/>
          </cell>
        </row>
        <row r="286">
          <cell r="P286" t="str">
            <v/>
          </cell>
          <cell r="Q286" t="str">
            <v/>
          </cell>
        </row>
        <row r="287">
          <cell r="P287" t="str">
            <v/>
          </cell>
          <cell r="Q287" t="str">
            <v/>
          </cell>
        </row>
        <row r="288">
          <cell r="P288" t="str">
            <v/>
          </cell>
          <cell r="Q288" t="str">
            <v/>
          </cell>
        </row>
        <row r="289">
          <cell r="P289" t="str">
            <v/>
          </cell>
          <cell r="Q289" t="str">
            <v/>
          </cell>
        </row>
        <row r="290">
          <cell r="P290" t="str">
            <v/>
          </cell>
          <cell r="Q290" t="str">
            <v/>
          </cell>
        </row>
        <row r="291">
          <cell r="P291" t="str">
            <v/>
          </cell>
          <cell r="Q291" t="str">
            <v/>
          </cell>
        </row>
        <row r="292">
          <cell r="P292" t="str">
            <v/>
          </cell>
          <cell r="Q292" t="str">
            <v/>
          </cell>
        </row>
        <row r="293">
          <cell r="P293" t="str">
            <v/>
          </cell>
          <cell r="Q293" t="str">
            <v/>
          </cell>
        </row>
        <row r="294">
          <cell r="P294" t="str">
            <v/>
          </cell>
          <cell r="Q294" t="str">
            <v/>
          </cell>
        </row>
        <row r="295">
          <cell r="P295" t="str">
            <v/>
          </cell>
          <cell r="Q295" t="str">
            <v/>
          </cell>
        </row>
        <row r="296">
          <cell r="P296" t="str">
            <v/>
          </cell>
          <cell r="Q296" t="str">
            <v/>
          </cell>
        </row>
        <row r="297">
          <cell r="P297" t="str">
            <v/>
          </cell>
          <cell r="Q297" t="str">
            <v/>
          </cell>
        </row>
        <row r="298">
          <cell r="P298" t="str">
            <v/>
          </cell>
          <cell r="Q298" t="str">
            <v/>
          </cell>
        </row>
        <row r="299">
          <cell r="P299" t="str">
            <v/>
          </cell>
          <cell r="Q299" t="str">
            <v/>
          </cell>
        </row>
        <row r="300">
          <cell r="P300" t="str">
            <v/>
          </cell>
          <cell r="Q300" t="str">
            <v/>
          </cell>
        </row>
        <row r="301">
          <cell r="P301" t="str">
            <v/>
          </cell>
          <cell r="Q301" t="str">
            <v/>
          </cell>
        </row>
        <row r="302">
          <cell r="P302" t="str">
            <v/>
          </cell>
          <cell r="Q302" t="str">
            <v/>
          </cell>
        </row>
        <row r="303">
          <cell r="P303" t="str">
            <v/>
          </cell>
          <cell r="Q303" t="str">
            <v/>
          </cell>
        </row>
        <row r="304">
          <cell r="P304" t="str">
            <v/>
          </cell>
          <cell r="Q304" t="str">
            <v/>
          </cell>
        </row>
        <row r="305">
          <cell r="P305" t="str">
            <v/>
          </cell>
          <cell r="Q305" t="str">
            <v/>
          </cell>
        </row>
        <row r="306">
          <cell r="P306" t="str">
            <v/>
          </cell>
          <cell r="Q306" t="str">
            <v/>
          </cell>
        </row>
        <row r="307">
          <cell r="P307" t="str">
            <v/>
          </cell>
          <cell r="Q307" t="str">
            <v/>
          </cell>
        </row>
        <row r="308">
          <cell r="P308" t="str">
            <v/>
          </cell>
          <cell r="Q308" t="str">
            <v/>
          </cell>
        </row>
        <row r="309">
          <cell r="P309" t="str">
            <v/>
          </cell>
          <cell r="Q309" t="str">
            <v/>
          </cell>
        </row>
        <row r="310">
          <cell r="P310" t="str">
            <v/>
          </cell>
          <cell r="Q310" t="str">
            <v/>
          </cell>
        </row>
        <row r="311">
          <cell r="P311" t="str">
            <v/>
          </cell>
          <cell r="Q311" t="str">
            <v/>
          </cell>
        </row>
        <row r="312">
          <cell r="P312" t="str">
            <v/>
          </cell>
          <cell r="Q312" t="str">
            <v/>
          </cell>
        </row>
        <row r="313">
          <cell r="P313" t="str">
            <v/>
          </cell>
          <cell r="Q313" t="str">
            <v/>
          </cell>
        </row>
        <row r="314">
          <cell r="P314" t="str">
            <v/>
          </cell>
          <cell r="Q314" t="str">
            <v/>
          </cell>
        </row>
        <row r="315">
          <cell r="P315" t="str">
            <v/>
          </cell>
          <cell r="Q315" t="str">
            <v/>
          </cell>
        </row>
        <row r="316">
          <cell r="P316" t="str">
            <v/>
          </cell>
          <cell r="Q316" t="str">
            <v/>
          </cell>
        </row>
        <row r="317">
          <cell r="P317" t="str">
            <v/>
          </cell>
          <cell r="Q317" t="str">
            <v/>
          </cell>
        </row>
        <row r="318">
          <cell r="P318" t="str">
            <v/>
          </cell>
          <cell r="Q318" t="str">
            <v/>
          </cell>
        </row>
        <row r="319">
          <cell r="P319" t="str">
            <v/>
          </cell>
          <cell r="Q319" t="str">
            <v/>
          </cell>
        </row>
        <row r="320">
          <cell r="P320" t="str">
            <v/>
          </cell>
          <cell r="Q320" t="str">
            <v/>
          </cell>
        </row>
        <row r="321">
          <cell r="P321" t="str">
            <v/>
          </cell>
          <cell r="Q321" t="str">
            <v/>
          </cell>
        </row>
        <row r="322">
          <cell r="P322" t="str">
            <v/>
          </cell>
          <cell r="Q322" t="str">
            <v/>
          </cell>
        </row>
        <row r="323">
          <cell r="P323" t="str">
            <v/>
          </cell>
          <cell r="Q323" t="str">
            <v/>
          </cell>
        </row>
        <row r="324">
          <cell r="P324" t="str">
            <v/>
          </cell>
          <cell r="Q324" t="str">
            <v/>
          </cell>
        </row>
        <row r="325">
          <cell r="P325" t="str">
            <v/>
          </cell>
          <cell r="Q325" t="str">
            <v/>
          </cell>
        </row>
        <row r="326">
          <cell r="P326" t="str">
            <v/>
          </cell>
          <cell r="Q326" t="str">
            <v/>
          </cell>
        </row>
        <row r="327">
          <cell r="P327" t="str">
            <v/>
          </cell>
          <cell r="Q327" t="str">
            <v/>
          </cell>
        </row>
        <row r="328">
          <cell r="P328" t="str">
            <v/>
          </cell>
          <cell r="Q328" t="str">
            <v/>
          </cell>
        </row>
        <row r="329">
          <cell r="P329" t="str">
            <v/>
          </cell>
          <cell r="Q329" t="str">
            <v/>
          </cell>
        </row>
        <row r="330">
          <cell r="P330" t="str">
            <v/>
          </cell>
          <cell r="Q330" t="str">
            <v/>
          </cell>
        </row>
        <row r="331">
          <cell r="P331" t="str">
            <v/>
          </cell>
          <cell r="Q331" t="str">
            <v/>
          </cell>
        </row>
        <row r="332">
          <cell r="P332" t="str">
            <v/>
          </cell>
          <cell r="Q332" t="str">
            <v/>
          </cell>
        </row>
        <row r="333">
          <cell r="P333" t="str">
            <v/>
          </cell>
          <cell r="Q333" t="str">
            <v/>
          </cell>
        </row>
        <row r="334">
          <cell r="P334" t="str">
            <v/>
          </cell>
          <cell r="Q334" t="str">
            <v/>
          </cell>
        </row>
        <row r="335">
          <cell r="P335" t="str">
            <v/>
          </cell>
          <cell r="Q335" t="str">
            <v/>
          </cell>
        </row>
        <row r="336">
          <cell r="P336" t="str">
            <v/>
          </cell>
          <cell r="Q336" t="str">
            <v/>
          </cell>
        </row>
        <row r="337">
          <cell r="P337" t="str">
            <v/>
          </cell>
          <cell r="Q337" t="str">
            <v/>
          </cell>
        </row>
        <row r="338">
          <cell r="P338" t="str">
            <v/>
          </cell>
          <cell r="Q338" t="str">
            <v/>
          </cell>
        </row>
        <row r="339">
          <cell r="P339" t="str">
            <v/>
          </cell>
          <cell r="Q339" t="str">
            <v/>
          </cell>
        </row>
        <row r="340">
          <cell r="P340" t="str">
            <v/>
          </cell>
          <cell r="Q340" t="str">
            <v/>
          </cell>
        </row>
        <row r="341">
          <cell r="P341" t="str">
            <v/>
          </cell>
          <cell r="Q341" t="str">
            <v/>
          </cell>
        </row>
        <row r="342">
          <cell r="P342" t="str">
            <v/>
          </cell>
          <cell r="Q342" t="str">
            <v/>
          </cell>
        </row>
        <row r="343">
          <cell r="P343" t="str">
            <v/>
          </cell>
          <cell r="Q343" t="str">
            <v/>
          </cell>
        </row>
        <row r="344">
          <cell r="P344" t="str">
            <v/>
          </cell>
          <cell r="Q344" t="str">
            <v/>
          </cell>
        </row>
        <row r="345">
          <cell r="P345" t="str">
            <v/>
          </cell>
          <cell r="Q345" t="str">
            <v/>
          </cell>
        </row>
        <row r="346">
          <cell r="P346" t="str">
            <v/>
          </cell>
          <cell r="Q346" t="str">
            <v/>
          </cell>
        </row>
        <row r="347">
          <cell r="P347" t="str">
            <v/>
          </cell>
          <cell r="Q347" t="str">
            <v/>
          </cell>
        </row>
        <row r="348">
          <cell r="P348" t="str">
            <v/>
          </cell>
          <cell r="Q348" t="str">
            <v/>
          </cell>
        </row>
        <row r="349">
          <cell r="P349" t="str">
            <v/>
          </cell>
          <cell r="Q349" t="str">
            <v/>
          </cell>
        </row>
        <row r="350">
          <cell r="P350" t="str">
            <v/>
          </cell>
          <cell r="Q350" t="str">
            <v/>
          </cell>
        </row>
        <row r="351">
          <cell r="P351" t="str">
            <v/>
          </cell>
          <cell r="Q351" t="str">
            <v/>
          </cell>
        </row>
        <row r="352">
          <cell r="P352" t="str">
            <v/>
          </cell>
          <cell r="Q352" t="str">
            <v/>
          </cell>
        </row>
        <row r="353">
          <cell r="P353" t="str">
            <v/>
          </cell>
          <cell r="Q353" t="str">
            <v/>
          </cell>
        </row>
        <row r="354">
          <cell r="P354" t="str">
            <v/>
          </cell>
          <cell r="Q354" t="str">
            <v/>
          </cell>
        </row>
        <row r="355">
          <cell r="P355" t="str">
            <v/>
          </cell>
          <cell r="Q355" t="str">
            <v/>
          </cell>
        </row>
        <row r="356">
          <cell r="P356" t="str">
            <v/>
          </cell>
          <cell r="Q356" t="str">
            <v/>
          </cell>
        </row>
        <row r="357">
          <cell r="P357" t="str">
            <v/>
          </cell>
          <cell r="Q357" t="str">
            <v/>
          </cell>
        </row>
        <row r="358">
          <cell r="P358" t="str">
            <v/>
          </cell>
          <cell r="Q358" t="str">
            <v/>
          </cell>
        </row>
        <row r="359">
          <cell r="P359" t="str">
            <v/>
          </cell>
          <cell r="Q359" t="str">
            <v/>
          </cell>
        </row>
        <row r="360">
          <cell r="P360" t="str">
            <v/>
          </cell>
          <cell r="Q360" t="str">
            <v/>
          </cell>
        </row>
        <row r="361">
          <cell r="P361" t="str">
            <v/>
          </cell>
          <cell r="Q361" t="str">
            <v/>
          </cell>
        </row>
        <row r="362">
          <cell r="P362" t="str">
            <v/>
          </cell>
          <cell r="Q362" t="str">
            <v/>
          </cell>
        </row>
        <row r="363">
          <cell r="P363" t="str">
            <v/>
          </cell>
          <cell r="Q363" t="str">
            <v/>
          </cell>
        </row>
        <row r="364">
          <cell r="P364" t="str">
            <v/>
          </cell>
          <cell r="Q364" t="str">
            <v/>
          </cell>
        </row>
        <row r="365">
          <cell r="P365" t="str">
            <v/>
          </cell>
          <cell r="Q365" t="str">
            <v/>
          </cell>
        </row>
        <row r="366">
          <cell r="P366" t="str">
            <v/>
          </cell>
          <cell r="Q366" t="str">
            <v/>
          </cell>
        </row>
        <row r="367">
          <cell r="P367" t="str">
            <v/>
          </cell>
          <cell r="Q367" t="str">
            <v/>
          </cell>
        </row>
        <row r="368">
          <cell r="P368" t="str">
            <v/>
          </cell>
          <cell r="Q368" t="str">
            <v/>
          </cell>
        </row>
        <row r="369">
          <cell r="P369" t="str">
            <v/>
          </cell>
          <cell r="Q369" t="str">
            <v/>
          </cell>
        </row>
        <row r="370">
          <cell r="P370" t="str">
            <v/>
          </cell>
          <cell r="Q370" t="str">
            <v/>
          </cell>
        </row>
        <row r="371">
          <cell r="P371" t="str">
            <v/>
          </cell>
          <cell r="Q371" t="str">
            <v/>
          </cell>
        </row>
        <row r="372">
          <cell r="P372" t="str">
            <v/>
          </cell>
          <cell r="Q372" t="str">
            <v/>
          </cell>
        </row>
        <row r="373">
          <cell r="P373" t="str">
            <v/>
          </cell>
          <cell r="Q373" t="str">
            <v/>
          </cell>
        </row>
        <row r="374">
          <cell r="P374" t="str">
            <v/>
          </cell>
          <cell r="Q374" t="str">
            <v/>
          </cell>
        </row>
        <row r="375">
          <cell r="P375" t="str">
            <v/>
          </cell>
          <cell r="Q375" t="str">
            <v/>
          </cell>
        </row>
        <row r="376">
          <cell r="P376" t="str">
            <v/>
          </cell>
          <cell r="Q376" t="str">
            <v/>
          </cell>
        </row>
        <row r="377">
          <cell r="P377" t="str">
            <v/>
          </cell>
          <cell r="Q377" t="str">
            <v/>
          </cell>
        </row>
        <row r="378">
          <cell r="P378" t="str">
            <v/>
          </cell>
          <cell r="Q378" t="str">
            <v/>
          </cell>
        </row>
        <row r="379">
          <cell r="P379" t="str">
            <v/>
          </cell>
          <cell r="Q379" t="str">
            <v/>
          </cell>
        </row>
        <row r="380">
          <cell r="P380" t="str">
            <v/>
          </cell>
          <cell r="Q380" t="str">
            <v/>
          </cell>
        </row>
        <row r="381">
          <cell r="P381" t="str">
            <v/>
          </cell>
          <cell r="Q381" t="str">
            <v/>
          </cell>
        </row>
        <row r="382">
          <cell r="P382" t="str">
            <v/>
          </cell>
          <cell r="Q382" t="str">
            <v/>
          </cell>
        </row>
        <row r="383">
          <cell r="P383" t="str">
            <v/>
          </cell>
          <cell r="Q383" t="str">
            <v/>
          </cell>
        </row>
        <row r="384">
          <cell r="P384" t="str">
            <v/>
          </cell>
          <cell r="Q384" t="str">
            <v/>
          </cell>
        </row>
        <row r="385">
          <cell r="P385" t="str">
            <v/>
          </cell>
          <cell r="Q385" t="str">
            <v/>
          </cell>
        </row>
        <row r="386">
          <cell r="P386" t="str">
            <v/>
          </cell>
          <cell r="Q386" t="str">
            <v/>
          </cell>
        </row>
        <row r="387">
          <cell r="P387" t="str">
            <v/>
          </cell>
          <cell r="Q387" t="str">
            <v/>
          </cell>
        </row>
        <row r="388">
          <cell r="P388" t="str">
            <v/>
          </cell>
          <cell r="Q388" t="str">
            <v/>
          </cell>
        </row>
        <row r="389">
          <cell r="P389" t="str">
            <v/>
          </cell>
          <cell r="Q389" t="str">
            <v/>
          </cell>
        </row>
        <row r="390">
          <cell r="P390" t="str">
            <v/>
          </cell>
          <cell r="Q390" t="str">
            <v/>
          </cell>
        </row>
        <row r="391">
          <cell r="P391" t="str">
            <v/>
          </cell>
          <cell r="Q391" t="str">
            <v/>
          </cell>
        </row>
        <row r="392">
          <cell r="P392" t="str">
            <v/>
          </cell>
          <cell r="Q392" t="str">
            <v/>
          </cell>
        </row>
        <row r="393">
          <cell r="P393" t="str">
            <v/>
          </cell>
          <cell r="Q393" t="str">
            <v/>
          </cell>
        </row>
        <row r="394">
          <cell r="P394" t="str">
            <v/>
          </cell>
          <cell r="Q394" t="str">
            <v/>
          </cell>
        </row>
        <row r="395">
          <cell r="P395" t="str">
            <v/>
          </cell>
          <cell r="Q395" t="str">
            <v/>
          </cell>
        </row>
        <row r="396">
          <cell r="P396" t="str">
            <v/>
          </cell>
          <cell r="Q396" t="str">
            <v/>
          </cell>
        </row>
        <row r="397">
          <cell r="P397" t="str">
            <v/>
          </cell>
          <cell r="Q397" t="str">
            <v/>
          </cell>
        </row>
        <row r="398">
          <cell r="P398" t="str">
            <v/>
          </cell>
          <cell r="Q398" t="str">
            <v/>
          </cell>
        </row>
        <row r="399">
          <cell r="P399" t="str">
            <v/>
          </cell>
          <cell r="Q399" t="str">
            <v/>
          </cell>
        </row>
        <row r="400">
          <cell r="P400" t="str">
            <v/>
          </cell>
          <cell r="Q400" t="str">
            <v/>
          </cell>
        </row>
        <row r="401">
          <cell r="P401" t="str">
            <v/>
          </cell>
          <cell r="Q401" t="str">
            <v/>
          </cell>
        </row>
        <row r="402">
          <cell r="P402" t="str">
            <v/>
          </cell>
          <cell r="Q402" t="str">
            <v/>
          </cell>
        </row>
        <row r="403">
          <cell r="P403" t="str">
            <v/>
          </cell>
          <cell r="Q403" t="str">
            <v/>
          </cell>
        </row>
        <row r="404">
          <cell r="P404" t="str">
            <v/>
          </cell>
          <cell r="Q404" t="str">
            <v/>
          </cell>
        </row>
        <row r="405">
          <cell r="P405" t="str">
            <v/>
          </cell>
          <cell r="Q405" t="str">
            <v/>
          </cell>
        </row>
        <row r="406">
          <cell r="P406" t="str">
            <v/>
          </cell>
          <cell r="Q406" t="str">
            <v/>
          </cell>
        </row>
        <row r="407">
          <cell r="P407" t="str">
            <v/>
          </cell>
          <cell r="Q407" t="str">
            <v/>
          </cell>
        </row>
        <row r="408">
          <cell r="P408" t="str">
            <v/>
          </cell>
          <cell r="Q408" t="str">
            <v/>
          </cell>
        </row>
        <row r="409">
          <cell r="P409" t="str">
            <v/>
          </cell>
          <cell r="Q409" t="str">
            <v/>
          </cell>
        </row>
        <row r="410">
          <cell r="P410" t="str">
            <v/>
          </cell>
          <cell r="Q410" t="str">
            <v/>
          </cell>
        </row>
        <row r="411">
          <cell r="P411" t="str">
            <v/>
          </cell>
          <cell r="Q411" t="str">
            <v/>
          </cell>
        </row>
        <row r="412">
          <cell r="P412" t="str">
            <v/>
          </cell>
          <cell r="Q412" t="str">
            <v/>
          </cell>
        </row>
        <row r="413">
          <cell r="P413" t="str">
            <v/>
          </cell>
          <cell r="Q413" t="str">
            <v/>
          </cell>
        </row>
        <row r="414">
          <cell r="P414" t="str">
            <v/>
          </cell>
          <cell r="Q414" t="str">
            <v/>
          </cell>
        </row>
        <row r="415">
          <cell r="P415" t="str">
            <v/>
          </cell>
          <cell r="Q415" t="str">
            <v/>
          </cell>
        </row>
        <row r="416">
          <cell r="P416" t="str">
            <v/>
          </cell>
          <cell r="Q416" t="str">
            <v/>
          </cell>
        </row>
        <row r="417">
          <cell r="P417" t="str">
            <v/>
          </cell>
          <cell r="Q417" t="str">
            <v/>
          </cell>
        </row>
        <row r="418">
          <cell r="P418" t="str">
            <v/>
          </cell>
          <cell r="Q418" t="str">
            <v/>
          </cell>
        </row>
        <row r="419">
          <cell r="P419" t="str">
            <v/>
          </cell>
          <cell r="Q419" t="str">
            <v/>
          </cell>
        </row>
        <row r="420">
          <cell r="P420" t="str">
            <v/>
          </cell>
          <cell r="Q420" t="str">
            <v/>
          </cell>
        </row>
        <row r="421">
          <cell r="P421" t="str">
            <v/>
          </cell>
          <cell r="Q421" t="str">
            <v/>
          </cell>
        </row>
        <row r="422">
          <cell r="P422" t="str">
            <v/>
          </cell>
          <cell r="Q422" t="str">
            <v/>
          </cell>
        </row>
        <row r="423">
          <cell r="P423" t="str">
            <v/>
          </cell>
          <cell r="Q423" t="str">
            <v/>
          </cell>
        </row>
        <row r="424">
          <cell r="P424" t="str">
            <v/>
          </cell>
          <cell r="Q424" t="str">
            <v/>
          </cell>
        </row>
        <row r="425">
          <cell r="P425" t="str">
            <v/>
          </cell>
          <cell r="Q425" t="str">
            <v/>
          </cell>
        </row>
        <row r="426">
          <cell r="P426" t="str">
            <v/>
          </cell>
          <cell r="Q426" t="str">
            <v/>
          </cell>
        </row>
        <row r="427">
          <cell r="P427" t="str">
            <v/>
          </cell>
          <cell r="Q427" t="str">
            <v/>
          </cell>
        </row>
        <row r="428">
          <cell r="P428" t="str">
            <v/>
          </cell>
          <cell r="Q428" t="str">
            <v/>
          </cell>
        </row>
        <row r="429">
          <cell r="P429" t="str">
            <v/>
          </cell>
          <cell r="Q429" t="str">
            <v/>
          </cell>
        </row>
        <row r="430">
          <cell r="P430" t="str">
            <v/>
          </cell>
          <cell r="Q430" t="str">
            <v/>
          </cell>
        </row>
        <row r="431">
          <cell r="P431" t="str">
            <v/>
          </cell>
          <cell r="Q431" t="str">
            <v/>
          </cell>
        </row>
        <row r="432">
          <cell r="P432" t="str">
            <v/>
          </cell>
          <cell r="Q432" t="str">
            <v/>
          </cell>
        </row>
        <row r="433">
          <cell r="P433" t="str">
            <v/>
          </cell>
          <cell r="Q433" t="str">
            <v/>
          </cell>
        </row>
        <row r="434">
          <cell r="P434" t="str">
            <v/>
          </cell>
          <cell r="Q434" t="str">
            <v/>
          </cell>
        </row>
        <row r="435">
          <cell r="P435" t="str">
            <v/>
          </cell>
          <cell r="Q435" t="str">
            <v/>
          </cell>
        </row>
        <row r="436">
          <cell r="P436" t="str">
            <v/>
          </cell>
          <cell r="Q436" t="str">
            <v/>
          </cell>
        </row>
        <row r="437">
          <cell r="P437" t="str">
            <v/>
          </cell>
          <cell r="Q437" t="str">
            <v/>
          </cell>
        </row>
        <row r="438">
          <cell r="P438" t="str">
            <v/>
          </cell>
          <cell r="Q438" t="str">
            <v/>
          </cell>
        </row>
        <row r="439">
          <cell r="P439" t="str">
            <v/>
          </cell>
          <cell r="Q439" t="str">
            <v/>
          </cell>
        </row>
        <row r="440">
          <cell r="P440" t="str">
            <v/>
          </cell>
          <cell r="Q440" t="str">
            <v/>
          </cell>
        </row>
        <row r="441">
          <cell r="P441" t="str">
            <v/>
          </cell>
          <cell r="Q441" t="str">
            <v/>
          </cell>
        </row>
        <row r="442">
          <cell r="P442" t="str">
            <v/>
          </cell>
          <cell r="Q442" t="str">
            <v/>
          </cell>
        </row>
        <row r="443">
          <cell r="P443" t="str">
            <v/>
          </cell>
          <cell r="Q443" t="str">
            <v/>
          </cell>
        </row>
        <row r="444">
          <cell r="P444" t="str">
            <v/>
          </cell>
          <cell r="Q444" t="str">
            <v/>
          </cell>
        </row>
        <row r="445">
          <cell r="P445" t="str">
            <v/>
          </cell>
          <cell r="Q445" t="str">
            <v/>
          </cell>
        </row>
        <row r="446">
          <cell r="P446" t="str">
            <v/>
          </cell>
          <cell r="Q446" t="str">
            <v/>
          </cell>
        </row>
        <row r="447">
          <cell r="P447" t="str">
            <v/>
          </cell>
          <cell r="Q447" t="str">
            <v/>
          </cell>
        </row>
        <row r="448">
          <cell r="P448" t="str">
            <v/>
          </cell>
          <cell r="Q448" t="str">
            <v/>
          </cell>
        </row>
        <row r="449">
          <cell r="P449" t="str">
            <v/>
          </cell>
          <cell r="Q449" t="str">
            <v/>
          </cell>
        </row>
        <row r="450">
          <cell r="P450" t="str">
            <v/>
          </cell>
          <cell r="Q450" t="str">
            <v/>
          </cell>
        </row>
        <row r="451">
          <cell r="P451" t="str">
            <v/>
          </cell>
          <cell r="Q451" t="str">
            <v/>
          </cell>
        </row>
        <row r="452">
          <cell r="P452" t="str">
            <v/>
          </cell>
          <cell r="Q452" t="str">
            <v/>
          </cell>
        </row>
        <row r="453">
          <cell r="P453" t="str">
            <v/>
          </cell>
          <cell r="Q453" t="str">
            <v/>
          </cell>
        </row>
        <row r="454">
          <cell r="P454" t="str">
            <v/>
          </cell>
          <cell r="Q454" t="str">
            <v/>
          </cell>
        </row>
        <row r="455">
          <cell r="P455" t="str">
            <v/>
          </cell>
          <cell r="Q455" t="str">
            <v/>
          </cell>
        </row>
        <row r="456">
          <cell r="P456" t="str">
            <v/>
          </cell>
          <cell r="Q456" t="str">
            <v/>
          </cell>
        </row>
        <row r="457">
          <cell r="P457" t="str">
            <v/>
          </cell>
          <cell r="Q457" t="str">
            <v/>
          </cell>
        </row>
        <row r="458">
          <cell r="P458" t="str">
            <v/>
          </cell>
          <cell r="Q458" t="str">
            <v/>
          </cell>
        </row>
        <row r="459">
          <cell r="P459" t="str">
            <v/>
          </cell>
          <cell r="Q459" t="str">
            <v/>
          </cell>
        </row>
        <row r="460">
          <cell r="P460" t="str">
            <v/>
          </cell>
          <cell r="Q460" t="str">
            <v/>
          </cell>
        </row>
        <row r="461">
          <cell r="P461" t="str">
            <v/>
          </cell>
          <cell r="Q461" t="str">
            <v/>
          </cell>
        </row>
        <row r="462">
          <cell r="P462" t="str">
            <v/>
          </cell>
          <cell r="Q462" t="str">
            <v/>
          </cell>
        </row>
        <row r="463">
          <cell r="P463" t="str">
            <v/>
          </cell>
          <cell r="Q463" t="str">
            <v/>
          </cell>
        </row>
        <row r="464">
          <cell r="P464" t="str">
            <v/>
          </cell>
          <cell r="Q464" t="str">
            <v/>
          </cell>
        </row>
        <row r="465">
          <cell r="P465" t="str">
            <v/>
          </cell>
          <cell r="Q465" t="str">
            <v/>
          </cell>
        </row>
        <row r="466">
          <cell r="P466" t="str">
            <v/>
          </cell>
          <cell r="Q466" t="str">
            <v/>
          </cell>
        </row>
        <row r="467">
          <cell r="P467" t="str">
            <v/>
          </cell>
          <cell r="Q467" t="str">
            <v/>
          </cell>
        </row>
        <row r="468">
          <cell r="P468" t="str">
            <v/>
          </cell>
          <cell r="Q468" t="str">
            <v/>
          </cell>
        </row>
        <row r="469">
          <cell r="P469" t="str">
            <v/>
          </cell>
          <cell r="Q469" t="str">
            <v/>
          </cell>
        </row>
        <row r="470">
          <cell r="P470" t="str">
            <v/>
          </cell>
          <cell r="Q470" t="str">
            <v/>
          </cell>
        </row>
        <row r="471">
          <cell r="P471" t="str">
            <v/>
          </cell>
          <cell r="Q471" t="str">
            <v/>
          </cell>
        </row>
        <row r="472">
          <cell r="P472" t="str">
            <v/>
          </cell>
          <cell r="Q472" t="str">
            <v/>
          </cell>
        </row>
        <row r="473">
          <cell r="P473" t="str">
            <v/>
          </cell>
          <cell r="Q473" t="str">
            <v/>
          </cell>
        </row>
        <row r="474">
          <cell r="P474" t="str">
            <v/>
          </cell>
          <cell r="Q474" t="str">
            <v/>
          </cell>
        </row>
        <row r="475">
          <cell r="P475" t="str">
            <v/>
          </cell>
          <cell r="Q475" t="str">
            <v/>
          </cell>
        </row>
        <row r="476">
          <cell r="P476" t="str">
            <v/>
          </cell>
          <cell r="Q476" t="str">
            <v/>
          </cell>
        </row>
        <row r="477">
          <cell r="P477" t="str">
            <v/>
          </cell>
          <cell r="Q477" t="str">
            <v/>
          </cell>
        </row>
        <row r="478">
          <cell r="P478" t="str">
            <v/>
          </cell>
          <cell r="Q478" t="str">
            <v/>
          </cell>
        </row>
        <row r="479">
          <cell r="P479" t="str">
            <v/>
          </cell>
          <cell r="Q479" t="str">
            <v/>
          </cell>
        </row>
        <row r="480">
          <cell r="P480" t="str">
            <v/>
          </cell>
          <cell r="Q480" t="str">
            <v/>
          </cell>
        </row>
        <row r="481">
          <cell r="P481" t="str">
            <v/>
          </cell>
          <cell r="Q481" t="str">
            <v/>
          </cell>
        </row>
        <row r="482">
          <cell r="P482" t="str">
            <v/>
          </cell>
          <cell r="Q482" t="str">
            <v/>
          </cell>
        </row>
        <row r="483">
          <cell r="P483" t="str">
            <v/>
          </cell>
          <cell r="Q483" t="str">
            <v/>
          </cell>
        </row>
        <row r="484">
          <cell r="P484" t="str">
            <v/>
          </cell>
          <cell r="Q484" t="str">
            <v/>
          </cell>
        </row>
        <row r="485">
          <cell r="P485" t="str">
            <v/>
          </cell>
          <cell r="Q485" t="str">
            <v/>
          </cell>
        </row>
        <row r="486">
          <cell r="P486" t="str">
            <v/>
          </cell>
          <cell r="Q486" t="str">
            <v/>
          </cell>
        </row>
        <row r="487">
          <cell r="P487" t="str">
            <v/>
          </cell>
          <cell r="Q487" t="str">
            <v/>
          </cell>
        </row>
        <row r="488">
          <cell r="P488" t="str">
            <v/>
          </cell>
          <cell r="Q488" t="str">
            <v/>
          </cell>
        </row>
        <row r="489">
          <cell r="P489" t="str">
            <v/>
          </cell>
          <cell r="Q489" t="str">
            <v/>
          </cell>
        </row>
        <row r="490">
          <cell r="P490" t="str">
            <v/>
          </cell>
          <cell r="Q490" t="str">
            <v/>
          </cell>
        </row>
        <row r="491">
          <cell r="P491" t="str">
            <v/>
          </cell>
          <cell r="Q491" t="str">
            <v/>
          </cell>
        </row>
        <row r="492">
          <cell r="P492" t="str">
            <v/>
          </cell>
          <cell r="Q492" t="str">
            <v/>
          </cell>
        </row>
        <row r="493">
          <cell r="P493" t="str">
            <v/>
          </cell>
          <cell r="Q493" t="str">
            <v/>
          </cell>
        </row>
        <row r="494">
          <cell r="P494" t="str">
            <v/>
          </cell>
          <cell r="Q494" t="str">
            <v/>
          </cell>
        </row>
        <row r="495">
          <cell r="P495" t="str">
            <v/>
          </cell>
          <cell r="Q495" t="str">
            <v/>
          </cell>
        </row>
        <row r="496">
          <cell r="P496" t="str">
            <v/>
          </cell>
          <cell r="Q496" t="str">
            <v/>
          </cell>
        </row>
        <row r="497">
          <cell r="P497" t="str">
            <v/>
          </cell>
          <cell r="Q497" t="str">
            <v/>
          </cell>
        </row>
        <row r="498">
          <cell r="P498" t="str">
            <v/>
          </cell>
          <cell r="Q498" t="str">
            <v/>
          </cell>
        </row>
        <row r="499">
          <cell r="P499" t="str">
            <v/>
          </cell>
          <cell r="Q499" t="str">
            <v/>
          </cell>
        </row>
        <row r="500">
          <cell r="P500" t="str">
            <v/>
          </cell>
          <cell r="Q500" t="str">
            <v/>
          </cell>
        </row>
        <row r="501">
          <cell r="P501" t="str">
            <v/>
          </cell>
          <cell r="Q501" t="str">
            <v/>
          </cell>
        </row>
      </sheetData>
      <sheetData sheetId="3">
        <row r="3">
          <cell r="A3">
            <v>51</v>
          </cell>
          <cell r="H3">
            <v>10000</v>
          </cell>
          <cell r="S3" t="str">
            <v>32</v>
          </cell>
        </row>
        <row r="4">
          <cell r="A4">
            <v>51</v>
          </cell>
          <cell r="H4">
            <v>4000</v>
          </cell>
          <cell r="S4" t="str">
            <v>32</v>
          </cell>
        </row>
        <row r="5">
          <cell r="A5">
            <v>51</v>
          </cell>
          <cell r="H5">
            <v>5000</v>
          </cell>
          <cell r="S5" t="str">
            <v>32</v>
          </cell>
        </row>
        <row r="6">
          <cell r="A6">
            <v>51</v>
          </cell>
          <cell r="H6">
            <v>2000</v>
          </cell>
          <cell r="S6" t="str">
            <v>32</v>
          </cell>
        </row>
        <row r="7">
          <cell r="A7">
            <v>51</v>
          </cell>
          <cell r="H7">
            <v>8750</v>
          </cell>
          <cell r="S7" t="str">
            <v>36</v>
          </cell>
        </row>
        <row r="8">
          <cell r="A8">
            <v>51</v>
          </cell>
          <cell r="H8">
            <v>3000</v>
          </cell>
          <cell r="S8" t="str">
            <v>32</v>
          </cell>
        </row>
        <row r="9">
          <cell r="A9">
            <v>51</v>
          </cell>
          <cell r="H9">
            <v>1000</v>
          </cell>
          <cell r="S9" t="str">
            <v>32</v>
          </cell>
        </row>
        <row r="10">
          <cell r="A10">
            <v>51</v>
          </cell>
          <cell r="H10">
            <v>15500</v>
          </cell>
          <cell r="S10" t="str">
            <v>36</v>
          </cell>
        </row>
        <row r="11">
          <cell r="A11">
            <v>51</v>
          </cell>
          <cell r="H11">
            <v>16707</v>
          </cell>
          <cell r="S11" t="str">
            <v>31</v>
          </cell>
        </row>
        <row r="12">
          <cell r="A12">
            <v>51</v>
          </cell>
          <cell r="H12">
            <v>1417</v>
          </cell>
          <cell r="S12" t="str">
            <v>31</v>
          </cell>
        </row>
        <row r="13">
          <cell r="A13">
            <v>51</v>
          </cell>
          <cell r="H13">
            <v>19112</v>
          </cell>
          <cell r="S13" t="str">
            <v>32</v>
          </cell>
        </row>
        <row r="14">
          <cell r="A14">
            <v>51</v>
          </cell>
          <cell r="H14">
            <v>5000</v>
          </cell>
          <cell r="S14" t="str">
            <v>32</v>
          </cell>
        </row>
        <row r="15">
          <cell r="A15">
            <v>51</v>
          </cell>
          <cell r="H15">
            <v>1417</v>
          </cell>
          <cell r="S15" t="str">
            <v>32</v>
          </cell>
        </row>
        <row r="16">
          <cell r="A16">
            <v>561</v>
          </cell>
          <cell r="H16">
            <v>12575</v>
          </cell>
          <cell r="S16" t="str">
            <v>31</v>
          </cell>
        </row>
        <row r="17">
          <cell r="A17">
            <v>12</v>
          </cell>
          <cell r="H17">
            <v>2219</v>
          </cell>
          <cell r="S17" t="str">
            <v>31</v>
          </cell>
        </row>
        <row r="18">
          <cell r="A18">
            <v>561</v>
          </cell>
          <cell r="H18">
            <v>2075</v>
          </cell>
          <cell r="S18" t="str">
            <v>31</v>
          </cell>
        </row>
        <row r="19">
          <cell r="A19">
            <v>12</v>
          </cell>
          <cell r="H19">
            <v>366</v>
          </cell>
          <cell r="S19" t="str">
            <v>31</v>
          </cell>
        </row>
        <row r="20">
          <cell r="A20">
            <v>561</v>
          </cell>
          <cell r="H20">
            <v>25318</v>
          </cell>
          <cell r="S20" t="str">
            <v>32</v>
          </cell>
        </row>
        <row r="21">
          <cell r="A21">
            <v>12</v>
          </cell>
          <cell r="H21">
            <v>4468</v>
          </cell>
          <cell r="S21" t="str">
            <v>32</v>
          </cell>
        </row>
        <row r="22">
          <cell r="A22">
            <v>561</v>
          </cell>
          <cell r="H22">
            <v>28486</v>
          </cell>
          <cell r="S22" t="str">
            <v>32</v>
          </cell>
        </row>
        <row r="23">
          <cell r="A23">
            <v>12</v>
          </cell>
          <cell r="H23">
            <v>5027</v>
          </cell>
          <cell r="S23" t="str">
            <v>32</v>
          </cell>
        </row>
        <row r="24">
          <cell r="A24">
            <v>51</v>
          </cell>
          <cell r="H24">
            <v>2280</v>
          </cell>
          <cell r="S24" t="str">
            <v>32</v>
          </cell>
        </row>
        <row r="25">
          <cell r="A25">
            <v>51</v>
          </cell>
          <cell r="H25">
            <v>4100</v>
          </cell>
          <cell r="S25" t="str">
            <v>32</v>
          </cell>
        </row>
        <row r="26">
          <cell r="A26">
            <v>51</v>
          </cell>
          <cell r="H26">
            <v>7707</v>
          </cell>
          <cell r="S26" t="str">
            <v>31</v>
          </cell>
        </row>
        <row r="27">
          <cell r="A27">
            <v>51</v>
          </cell>
          <cell r="H27">
            <v>1272</v>
          </cell>
          <cell r="S27" t="str">
            <v>31</v>
          </cell>
        </row>
        <row r="28">
          <cell r="A28">
            <v>51</v>
          </cell>
          <cell r="H28">
            <v>3546</v>
          </cell>
          <cell r="S28" t="str">
            <v>32</v>
          </cell>
        </row>
        <row r="29">
          <cell r="A29">
            <v>51</v>
          </cell>
          <cell r="H29">
            <v>2654</v>
          </cell>
          <cell r="S29" t="str">
            <v>32</v>
          </cell>
        </row>
        <row r="30">
          <cell r="A30">
            <v>51</v>
          </cell>
          <cell r="H30">
            <v>254</v>
          </cell>
          <cell r="S30" t="str">
            <v>32</v>
          </cell>
        </row>
        <row r="31">
          <cell r="A31">
            <v>51</v>
          </cell>
          <cell r="H31">
            <v>2654</v>
          </cell>
          <cell r="S31" t="str">
            <v>32</v>
          </cell>
        </row>
        <row r="32">
          <cell r="A32">
            <v>51</v>
          </cell>
          <cell r="H32">
            <v>1327</v>
          </cell>
          <cell r="S32" t="str">
            <v>32</v>
          </cell>
        </row>
        <row r="33">
          <cell r="S33" t="str">
            <v/>
          </cell>
        </row>
        <row r="34">
          <cell r="S34" t="str">
            <v/>
          </cell>
        </row>
        <row r="35">
          <cell r="S35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A40">
            <v>563</v>
          </cell>
          <cell r="H40">
            <v>22280.390205056738</v>
          </cell>
          <cell r="S40" t="str">
            <v>36</v>
          </cell>
        </row>
        <row r="41">
          <cell r="A41">
            <v>561</v>
          </cell>
          <cell r="H41">
            <v>4834</v>
          </cell>
          <cell r="S41" t="str">
            <v>31</v>
          </cell>
        </row>
        <row r="42">
          <cell r="A42">
            <v>12</v>
          </cell>
          <cell r="H42">
            <v>853</v>
          </cell>
          <cell r="S42" t="str">
            <v>31</v>
          </cell>
        </row>
        <row r="43">
          <cell r="A43">
            <v>561</v>
          </cell>
          <cell r="H43">
            <v>798</v>
          </cell>
          <cell r="S43" t="str">
            <v>31</v>
          </cell>
        </row>
        <row r="44">
          <cell r="A44">
            <v>12</v>
          </cell>
          <cell r="H44">
            <v>141</v>
          </cell>
          <cell r="S44" t="str">
            <v>31</v>
          </cell>
        </row>
        <row r="45">
          <cell r="A45">
            <v>561</v>
          </cell>
          <cell r="H45">
            <v>14944</v>
          </cell>
          <cell r="S45" t="str">
            <v>32</v>
          </cell>
        </row>
        <row r="46">
          <cell r="A46">
            <v>12</v>
          </cell>
          <cell r="H46">
            <v>2637</v>
          </cell>
          <cell r="S46" t="str">
            <v>32</v>
          </cell>
        </row>
        <row r="47">
          <cell r="A47">
            <v>561</v>
          </cell>
          <cell r="H47">
            <v>8830</v>
          </cell>
          <cell r="S47" t="str">
            <v>32</v>
          </cell>
        </row>
        <row r="48">
          <cell r="A48">
            <v>12</v>
          </cell>
          <cell r="H48">
            <v>1558</v>
          </cell>
          <cell r="S48" t="str">
            <v>32</v>
          </cell>
        </row>
        <row r="49">
          <cell r="A49">
            <v>561</v>
          </cell>
          <cell r="H49">
            <v>169</v>
          </cell>
          <cell r="S49" t="str">
            <v>32</v>
          </cell>
        </row>
        <row r="50">
          <cell r="A50">
            <v>12</v>
          </cell>
          <cell r="H50">
            <v>30</v>
          </cell>
          <cell r="S50" t="str">
            <v>32</v>
          </cell>
        </row>
        <row r="51">
          <cell r="A51">
            <v>561</v>
          </cell>
          <cell r="H51">
            <v>1455</v>
          </cell>
          <cell r="S51" t="str">
            <v>32</v>
          </cell>
        </row>
        <row r="52">
          <cell r="A52">
            <v>12</v>
          </cell>
          <cell r="H52">
            <v>257</v>
          </cell>
          <cell r="S52" t="str">
            <v>32</v>
          </cell>
        </row>
        <row r="53">
          <cell r="A53">
            <v>561</v>
          </cell>
          <cell r="H53">
            <v>254</v>
          </cell>
          <cell r="S53" t="str">
            <v>32</v>
          </cell>
        </row>
        <row r="54">
          <cell r="A54">
            <v>12</v>
          </cell>
          <cell r="H54">
            <v>45</v>
          </cell>
          <cell r="S54" t="str">
            <v>32</v>
          </cell>
        </row>
        <row r="55">
          <cell r="A55">
            <v>561</v>
          </cell>
          <cell r="H55">
            <v>27282</v>
          </cell>
          <cell r="S55" t="str">
            <v>36</v>
          </cell>
        </row>
        <row r="56">
          <cell r="A56">
            <v>12</v>
          </cell>
          <cell r="H56">
            <v>4814</v>
          </cell>
          <cell r="S56" t="str">
            <v>36</v>
          </cell>
        </row>
        <row r="57">
          <cell r="A57">
            <v>561</v>
          </cell>
          <cell r="H57">
            <v>23062</v>
          </cell>
          <cell r="S57" t="str">
            <v>42</v>
          </cell>
        </row>
        <row r="58">
          <cell r="A58">
            <v>12</v>
          </cell>
          <cell r="H58">
            <v>4070</v>
          </cell>
          <cell r="S58" t="str">
            <v>42</v>
          </cell>
        </row>
        <row r="59">
          <cell r="A59">
            <v>51</v>
          </cell>
          <cell r="H59">
            <v>1150</v>
          </cell>
          <cell r="I59">
            <v>1520</v>
          </cell>
          <cell r="S59" t="str">
            <v>32</v>
          </cell>
        </row>
        <row r="60">
          <cell r="A60">
            <v>51</v>
          </cell>
          <cell r="H60">
            <v>1000</v>
          </cell>
          <cell r="S60" t="str">
            <v>32</v>
          </cell>
        </row>
        <row r="61">
          <cell r="A61">
            <v>51</v>
          </cell>
          <cell r="H61">
            <v>3165</v>
          </cell>
          <cell r="I61">
            <v>3960</v>
          </cell>
          <cell r="S61" t="str">
            <v>36</v>
          </cell>
        </row>
        <row r="62">
          <cell r="A62">
            <v>51</v>
          </cell>
          <cell r="H62">
            <v>3000</v>
          </cell>
          <cell r="I62">
            <v>3000</v>
          </cell>
          <cell r="S62" t="str">
            <v>32</v>
          </cell>
        </row>
        <row r="63">
          <cell r="A63">
            <v>51</v>
          </cell>
          <cell r="H63">
            <v>6500</v>
          </cell>
          <cell r="S63" t="str">
            <v>36</v>
          </cell>
        </row>
        <row r="64">
          <cell r="A64">
            <v>51</v>
          </cell>
          <cell r="H64">
            <v>1357</v>
          </cell>
          <cell r="I64">
            <v>1697</v>
          </cell>
          <cell r="S64" t="str">
            <v>36</v>
          </cell>
        </row>
        <row r="65">
          <cell r="A65">
            <v>563</v>
          </cell>
          <cell r="H65">
            <v>12695.663945849094</v>
          </cell>
          <cell r="S65" t="str">
            <v>36</v>
          </cell>
        </row>
        <row r="66">
          <cell r="A66">
            <v>563</v>
          </cell>
          <cell r="H66">
            <v>34803.298161789106</v>
          </cell>
          <cell r="S66" t="str">
            <v>36</v>
          </cell>
        </row>
        <row r="67">
          <cell r="A67">
            <v>52</v>
          </cell>
          <cell r="H67">
            <v>11937</v>
          </cell>
          <cell r="S67" t="str">
            <v>36</v>
          </cell>
        </row>
        <row r="68">
          <cell r="A68">
            <v>52</v>
          </cell>
          <cell r="H68">
            <v>6310</v>
          </cell>
          <cell r="S68" t="str">
            <v>36</v>
          </cell>
        </row>
        <row r="69">
          <cell r="A69">
            <v>52</v>
          </cell>
          <cell r="H69">
            <v>3561</v>
          </cell>
          <cell r="S69" t="str">
            <v>36</v>
          </cell>
        </row>
        <row r="70">
          <cell r="A70">
            <v>51</v>
          </cell>
          <cell r="H70">
            <v>26637</v>
          </cell>
          <cell r="S70" t="str">
            <v>36</v>
          </cell>
        </row>
        <row r="71">
          <cell r="A71">
            <v>51</v>
          </cell>
          <cell r="H71">
            <v>20790</v>
          </cell>
          <cell r="S71" t="str">
            <v>36</v>
          </cell>
        </row>
        <row r="72">
          <cell r="A72">
            <v>51</v>
          </cell>
          <cell r="H72">
            <v>13434</v>
          </cell>
          <cell r="I72">
            <v>13434</v>
          </cell>
          <cell r="S72" t="str">
            <v>36</v>
          </cell>
        </row>
        <row r="73">
          <cell r="A73">
            <v>51</v>
          </cell>
          <cell r="H73">
            <v>3000</v>
          </cell>
          <cell r="S73" t="str">
            <v>32</v>
          </cell>
        </row>
        <row r="74">
          <cell r="A74">
            <v>51</v>
          </cell>
          <cell r="H74">
            <v>9723</v>
          </cell>
          <cell r="S74" t="str">
            <v>36</v>
          </cell>
        </row>
        <row r="75">
          <cell r="A75">
            <v>51</v>
          </cell>
          <cell r="H75">
            <v>2000</v>
          </cell>
          <cell r="S75" t="str">
            <v>32</v>
          </cell>
        </row>
        <row r="76">
          <cell r="A76">
            <v>61</v>
          </cell>
          <cell r="H76">
            <v>2157</v>
          </cell>
          <cell r="S76" t="str">
            <v>36</v>
          </cell>
        </row>
        <row r="77">
          <cell r="A77">
            <v>52</v>
          </cell>
          <cell r="H77">
            <v>8186</v>
          </cell>
          <cell r="I77">
            <v>8186</v>
          </cell>
          <cell r="S77" t="str">
            <v>36</v>
          </cell>
        </row>
        <row r="78">
          <cell r="A78">
            <v>52</v>
          </cell>
          <cell r="H78">
            <v>4354</v>
          </cell>
          <cell r="I78">
            <v>4354</v>
          </cell>
          <cell r="S78" t="str">
            <v>36</v>
          </cell>
        </row>
        <row r="79">
          <cell r="A79">
            <v>52</v>
          </cell>
          <cell r="H79">
            <v>6411</v>
          </cell>
          <cell r="I79">
            <v>6411</v>
          </cell>
          <cell r="S79" t="str">
            <v>36</v>
          </cell>
        </row>
        <row r="80">
          <cell r="A80">
            <v>52</v>
          </cell>
          <cell r="H80">
            <v>4874</v>
          </cell>
          <cell r="I80">
            <v>4874</v>
          </cell>
          <cell r="S80" t="str">
            <v>36</v>
          </cell>
        </row>
        <row r="81">
          <cell r="A81">
            <v>52</v>
          </cell>
          <cell r="H81">
            <v>2748</v>
          </cell>
          <cell r="I81">
            <v>2748</v>
          </cell>
          <cell r="S81" t="str">
            <v>36</v>
          </cell>
        </row>
        <row r="82">
          <cell r="A82">
            <v>52</v>
          </cell>
          <cell r="H82">
            <v>2720</v>
          </cell>
          <cell r="I82">
            <v>2720</v>
          </cell>
          <cell r="S82" t="str">
            <v>36</v>
          </cell>
        </row>
        <row r="83">
          <cell r="A83">
            <v>52</v>
          </cell>
          <cell r="H83">
            <v>4000</v>
          </cell>
          <cell r="S83" t="str">
            <v>32</v>
          </cell>
        </row>
        <row r="84">
          <cell r="A84">
            <v>51</v>
          </cell>
          <cell r="H84">
            <v>11462</v>
          </cell>
          <cell r="S84" t="str">
            <v>36</v>
          </cell>
        </row>
        <row r="85">
          <cell r="A85">
            <v>51</v>
          </cell>
          <cell r="H85">
            <v>8510</v>
          </cell>
          <cell r="S85" t="str">
            <v>36</v>
          </cell>
        </row>
        <row r="86">
          <cell r="A86">
            <v>51</v>
          </cell>
          <cell r="H86">
            <v>5105</v>
          </cell>
          <cell r="I86">
            <v>5105</v>
          </cell>
          <cell r="S86" t="str">
            <v>36</v>
          </cell>
        </row>
        <row r="87">
          <cell r="A87">
            <v>51</v>
          </cell>
          <cell r="H87">
            <v>12000</v>
          </cell>
          <cell r="I87">
            <v>2000</v>
          </cell>
          <cell r="S87" t="str">
            <v>32</v>
          </cell>
        </row>
        <row r="88">
          <cell r="A88">
            <v>51</v>
          </cell>
          <cell r="H88">
            <v>2000</v>
          </cell>
          <cell r="S88" t="str">
            <v>32</v>
          </cell>
        </row>
        <row r="89">
          <cell r="A89">
            <v>51</v>
          </cell>
          <cell r="H89">
            <v>20000</v>
          </cell>
          <cell r="I89">
            <v>20000</v>
          </cell>
          <cell r="S89" t="str">
            <v>36</v>
          </cell>
        </row>
        <row r="90">
          <cell r="A90">
            <v>51</v>
          </cell>
          <cell r="H90">
            <v>6200</v>
          </cell>
          <cell r="I90">
            <v>6200</v>
          </cell>
          <cell r="S90" t="str">
            <v>36</v>
          </cell>
        </row>
        <row r="91">
          <cell r="A91">
            <v>51</v>
          </cell>
          <cell r="H91">
            <v>5000</v>
          </cell>
          <cell r="I91">
            <v>2000</v>
          </cell>
          <cell r="S91" t="str">
            <v>32</v>
          </cell>
        </row>
        <row r="92">
          <cell r="A92">
            <v>51</v>
          </cell>
          <cell r="H92">
            <v>3000</v>
          </cell>
          <cell r="I92">
            <v>1000</v>
          </cell>
          <cell r="S92" t="str">
            <v>32</v>
          </cell>
        </row>
        <row r="93">
          <cell r="A93">
            <v>51</v>
          </cell>
          <cell r="H93">
            <v>1000</v>
          </cell>
          <cell r="S93" t="str">
            <v>32</v>
          </cell>
        </row>
        <row r="94">
          <cell r="S94" t="str">
            <v/>
          </cell>
        </row>
        <row r="95">
          <cell r="S95" t="str">
            <v/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A103">
            <v>52</v>
          </cell>
          <cell r="H103">
            <v>2434</v>
          </cell>
          <cell r="S103" t="str">
            <v>31</v>
          </cell>
        </row>
        <row r="104">
          <cell r="A104">
            <v>52</v>
          </cell>
          <cell r="H104">
            <v>404</v>
          </cell>
          <cell r="S104" t="str">
            <v>31</v>
          </cell>
        </row>
        <row r="105">
          <cell r="A105">
            <v>61</v>
          </cell>
          <cell r="H105">
            <v>2434</v>
          </cell>
          <cell r="S105" t="str">
            <v>31</v>
          </cell>
        </row>
        <row r="106">
          <cell r="A106">
            <v>61</v>
          </cell>
          <cell r="H106">
            <v>404</v>
          </cell>
          <cell r="S106" t="str">
            <v>31</v>
          </cell>
        </row>
        <row r="107">
          <cell r="A107">
            <v>52</v>
          </cell>
          <cell r="H107">
            <v>4000</v>
          </cell>
          <cell r="S107" t="str">
            <v>32</v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 t="str">
            <v/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A115">
            <v>51</v>
          </cell>
          <cell r="H115">
            <v>28130</v>
          </cell>
          <cell r="I115">
            <v>10549</v>
          </cell>
          <cell r="S115" t="str">
            <v>36</v>
          </cell>
        </row>
        <row r="116">
          <cell r="A116">
            <v>51</v>
          </cell>
          <cell r="H116">
            <v>10150</v>
          </cell>
          <cell r="I116">
            <v>3806</v>
          </cell>
          <cell r="S116" t="str">
            <v>36</v>
          </cell>
        </row>
        <row r="117">
          <cell r="A117">
            <v>51</v>
          </cell>
          <cell r="H117">
            <v>17787</v>
          </cell>
          <cell r="I117">
            <v>6670</v>
          </cell>
          <cell r="S117" t="str">
            <v>36</v>
          </cell>
        </row>
        <row r="118">
          <cell r="A118">
            <v>51</v>
          </cell>
          <cell r="H118">
            <v>10200</v>
          </cell>
          <cell r="I118">
            <v>3825</v>
          </cell>
          <cell r="S118" t="str">
            <v>36</v>
          </cell>
        </row>
        <row r="119">
          <cell r="A119">
            <v>51</v>
          </cell>
          <cell r="H119">
            <v>7150</v>
          </cell>
          <cell r="I119">
            <v>2681</v>
          </cell>
          <cell r="S119" t="str">
            <v>36</v>
          </cell>
        </row>
        <row r="120">
          <cell r="A120">
            <v>51</v>
          </cell>
          <cell r="H120">
            <v>7912</v>
          </cell>
          <cell r="I120">
            <v>2967</v>
          </cell>
          <cell r="S120" t="str">
            <v>36</v>
          </cell>
        </row>
        <row r="121">
          <cell r="A121">
            <v>51</v>
          </cell>
          <cell r="H121">
            <v>3250</v>
          </cell>
          <cell r="I121">
            <v>1219</v>
          </cell>
          <cell r="S121" t="str">
            <v>36</v>
          </cell>
        </row>
        <row r="122">
          <cell r="A122">
            <v>51</v>
          </cell>
          <cell r="H122">
            <v>5499</v>
          </cell>
          <cell r="I122">
            <v>2063</v>
          </cell>
          <cell r="S122" t="str">
            <v>36</v>
          </cell>
        </row>
        <row r="123">
          <cell r="A123">
            <v>51</v>
          </cell>
          <cell r="H123">
            <v>11872.055212688299</v>
          </cell>
          <cell r="S123" t="str">
            <v>31</v>
          </cell>
        </row>
        <row r="124">
          <cell r="A124">
            <v>51</v>
          </cell>
          <cell r="H124">
            <v>1958.8891100935698</v>
          </cell>
          <cell r="S124" t="str">
            <v>31</v>
          </cell>
        </row>
        <row r="125">
          <cell r="A125">
            <v>51</v>
          </cell>
          <cell r="H125">
            <v>8000</v>
          </cell>
          <cell r="S125" t="str">
            <v>32</v>
          </cell>
        </row>
        <row r="126">
          <cell r="A126">
            <v>51</v>
          </cell>
          <cell r="H126">
            <v>12000</v>
          </cell>
          <cell r="S126" t="str">
            <v>32</v>
          </cell>
        </row>
        <row r="127">
          <cell r="A127">
            <v>51</v>
          </cell>
          <cell r="H127">
            <v>5000</v>
          </cell>
          <cell r="S127" t="str">
            <v>32</v>
          </cell>
        </row>
        <row r="128">
          <cell r="A128">
            <v>51</v>
          </cell>
          <cell r="H128">
            <v>3000</v>
          </cell>
          <cell r="S128" t="str">
            <v>32</v>
          </cell>
        </row>
        <row r="129">
          <cell r="A129">
            <v>51</v>
          </cell>
          <cell r="H129">
            <v>2000</v>
          </cell>
          <cell r="S129" t="str">
            <v>32</v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 t="str">
            <v/>
          </cell>
        </row>
        <row r="134">
          <cell r="S134" t="str">
            <v/>
          </cell>
        </row>
        <row r="135">
          <cell r="A135">
            <v>52</v>
          </cell>
          <cell r="H135">
            <v>2000</v>
          </cell>
          <cell r="S135" t="str">
            <v>42</v>
          </cell>
        </row>
        <row r="136">
          <cell r="A136">
            <v>52</v>
          </cell>
          <cell r="H136">
            <v>3000</v>
          </cell>
          <cell r="I136">
            <v>3000</v>
          </cell>
          <cell r="S136" t="str">
            <v>32</v>
          </cell>
        </row>
        <row r="137">
          <cell r="A137">
            <v>52</v>
          </cell>
          <cell r="H137">
            <v>1000</v>
          </cell>
          <cell r="I137">
            <v>1000</v>
          </cell>
          <cell r="S137" t="str">
            <v>32</v>
          </cell>
        </row>
        <row r="138">
          <cell r="A138">
            <v>52</v>
          </cell>
          <cell r="H138">
            <v>2000</v>
          </cell>
          <cell r="I138">
            <v>0</v>
          </cell>
          <cell r="J138">
            <v>0</v>
          </cell>
          <cell r="S138" t="str">
            <v>42</v>
          </cell>
        </row>
        <row r="139">
          <cell r="A139">
            <v>52</v>
          </cell>
          <cell r="H139">
            <v>10000</v>
          </cell>
          <cell r="I139">
            <v>10000</v>
          </cell>
          <cell r="J139">
            <v>5000</v>
          </cell>
          <cell r="S139" t="str">
            <v>32</v>
          </cell>
        </row>
        <row r="140">
          <cell r="A140">
            <v>52</v>
          </cell>
          <cell r="H140">
            <v>1000</v>
          </cell>
          <cell r="I140">
            <v>1000</v>
          </cell>
          <cell r="J140">
            <v>1000</v>
          </cell>
          <cell r="S140" t="str">
            <v>32</v>
          </cell>
        </row>
        <row r="141">
          <cell r="A141">
            <v>52</v>
          </cell>
          <cell r="H141">
            <v>1200</v>
          </cell>
          <cell r="I141">
            <v>0</v>
          </cell>
          <cell r="J141">
            <v>0</v>
          </cell>
          <cell r="S141" t="str">
            <v>32</v>
          </cell>
        </row>
        <row r="142">
          <cell r="A142">
            <v>61</v>
          </cell>
          <cell r="H142">
            <v>15000</v>
          </cell>
          <cell r="I142">
            <v>15000</v>
          </cell>
          <cell r="S142" t="str">
            <v>32</v>
          </cell>
        </row>
        <row r="143">
          <cell r="A143">
            <v>61</v>
          </cell>
          <cell r="H143">
            <v>425</v>
          </cell>
          <cell r="S143" t="str">
            <v>32</v>
          </cell>
        </row>
        <row r="144">
          <cell r="A144">
            <v>61</v>
          </cell>
          <cell r="H144">
            <v>5000</v>
          </cell>
          <cell r="I144">
            <v>5000</v>
          </cell>
          <cell r="S144" t="str">
            <v>32</v>
          </cell>
        </row>
        <row r="145">
          <cell r="A145">
            <v>61</v>
          </cell>
          <cell r="H145">
            <v>4500</v>
          </cell>
          <cell r="I145">
            <v>4500</v>
          </cell>
          <cell r="S145" t="str">
            <v>32</v>
          </cell>
        </row>
        <row r="146">
          <cell r="A146">
            <v>61</v>
          </cell>
          <cell r="H146">
            <v>6250</v>
          </cell>
          <cell r="I146">
            <v>6250</v>
          </cell>
          <cell r="S146" t="str">
            <v>32</v>
          </cell>
        </row>
        <row r="147">
          <cell r="A147">
            <v>61</v>
          </cell>
          <cell r="H147">
            <v>5100</v>
          </cell>
          <cell r="I147">
            <v>5100</v>
          </cell>
          <cell r="S147" t="str">
            <v>41</v>
          </cell>
        </row>
        <row r="148">
          <cell r="A148">
            <v>51</v>
          </cell>
          <cell r="H148">
            <v>4000</v>
          </cell>
          <cell r="S148" t="str">
            <v>32</v>
          </cell>
        </row>
        <row r="149">
          <cell r="A149">
            <v>51</v>
          </cell>
          <cell r="H149">
            <v>9000</v>
          </cell>
          <cell r="S149" t="str">
            <v>32</v>
          </cell>
        </row>
        <row r="150">
          <cell r="A150">
            <v>51</v>
          </cell>
          <cell r="H150">
            <v>23000</v>
          </cell>
          <cell r="S150" t="str">
            <v>36</v>
          </cell>
        </row>
        <row r="151">
          <cell r="A151">
            <v>51</v>
          </cell>
          <cell r="H151">
            <v>44000</v>
          </cell>
          <cell r="S151" t="str">
            <v>36</v>
          </cell>
        </row>
        <row r="152">
          <cell r="A152">
            <v>563</v>
          </cell>
          <cell r="H152">
            <v>311700</v>
          </cell>
          <cell r="S152" t="str">
            <v>31</v>
          </cell>
        </row>
        <row r="153">
          <cell r="A153">
            <v>563</v>
          </cell>
          <cell r="H153">
            <v>2654</v>
          </cell>
          <cell r="S153" t="str">
            <v>31</v>
          </cell>
        </row>
        <row r="154">
          <cell r="A154">
            <v>563</v>
          </cell>
          <cell r="H154">
            <v>51430</v>
          </cell>
          <cell r="S154" t="str">
            <v>31</v>
          </cell>
        </row>
        <row r="155">
          <cell r="A155">
            <v>563</v>
          </cell>
          <cell r="H155">
            <v>86270</v>
          </cell>
          <cell r="S155" t="str">
            <v>32</v>
          </cell>
        </row>
        <row r="156">
          <cell r="A156">
            <v>563</v>
          </cell>
          <cell r="H156">
            <v>4645</v>
          </cell>
          <cell r="S156" t="str">
            <v>32</v>
          </cell>
        </row>
        <row r="157">
          <cell r="A157">
            <v>563</v>
          </cell>
          <cell r="H157">
            <v>9291</v>
          </cell>
          <cell r="S157" t="str">
            <v>32</v>
          </cell>
        </row>
        <row r="158">
          <cell r="A158">
            <v>563</v>
          </cell>
          <cell r="H158">
            <v>11945</v>
          </cell>
          <cell r="S158" t="str">
            <v>32</v>
          </cell>
        </row>
        <row r="159">
          <cell r="A159">
            <v>563</v>
          </cell>
          <cell r="H159">
            <v>26545</v>
          </cell>
          <cell r="S159" t="str">
            <v>32</v>
          </cell>
        </row>
        <row r="160">
          <cell r="A160">
            <v>563</v>
          </cell>
          <cell r="H160">
            <v>6636</v>
          </cell>
          <cell r="S160" t="str">
            <v>32</v>
          </cell>
        </row>
        <row r="161">
          <cell r="A161">
            <v>563</v>
          </cell>
          <cell r="H161">
            <v>1991</v>
          </cell>
          <cell r="S161" t="str">
            <v>32</v>
          </cell>
        </row>
        <row r="162">
          <cell r="A162">
            <v>563</v>
          </cell>
          <cell r="H162">
            <v>3318</v>
          </cell>
          <cell r="S162" t="str">
            <v>32</v>
          </cell>
        </row>
        <row r="163">
          <cell r="A163">
            <v>563</v>
          </cell>
          <cell r="H163">
            <v>3982</v>
          </cell>
          <cell r="S163" t="str">
            <v>32</v>
          </cell>
        </row>
        <row r="164">
          <cell r="A164">
            <v>563</v>
          </cell>
          <cell r="H164">
            <v>5309</v>
          </cell>
          <cell r="S164" t="str">
            <v>32</v>
          </cell>
        </row>
        <row r="165">
          <cell r="A165">
            <v>563</v>
          </cell>
          <cell r="H165">
            <v>14600</v>
          </cell>
          <cell r="S165" t="str">
            <v>32</v>
          </cell>
        </row>
        <row r="166">
          <cell r="A166">
            <v>563</v>
          </cell>
          <cell r="H166">
            <v>46453</v>
          </cell>
          <cell r="S166" t="str">
            <v>32</v>
          </cell>
        </row>
        <row r="167">
          <cell r="A167">
            <v>563</v>
          </cell>
          <cell r="H167">
            <v>13272</v>
          </cell>
          <cell r="S167" t="str">
            <v>32</v>
          </cell>
        </row>
        <row r="168">
          <cell r="A168">
            <v>563</v>
          </cell>
          <cell r="H168">
            <v>63532</v>
          </cell>
          <cell r="S168" t="str">
            <v>38</v>
          </cell>
        </row>
        <row r="169">
          <cell r="A169">
            <v>563</v>
          </cell>
          <cell r="H169">
            <v>9291</v>
          </cell>
          <cell r="S169" t="str">
            <v>42</v>
          </cell>
        </row>
        <row r="170">
          <cell r="A170">
            <v>563</v>
          </cell>
          <cell r="H170">
            <v>5309</v>
          </cell>
          <cell r="S170" t="str">
            <v>42</v>
          </cell>
        </row>
        <row r="171">
          <cell r="A171">
            <v>563</v>
          </cell>
          <cell r="H171">
            <v>53089</v>
          </cell>
          <cell r="S171" t="str">
            <v>42</v>
          </cell>
        </row>
        <row r="172">
          <cell r="A172">
            <v>563</v>
          </cell>
          <cell r="H172">
            <v>26545</v>
          </cell>
          <cell r="S172" t="str">
            <v>42</v>
          </cell>
        </row>
        <row r="173">
          <cell r="A173">
            <v>563</v>
          </cell>
          <cell r="H173">
            <v>6636</v>
          </cell>
          <cell r="S173" t="str">
            <v>42</v>
          </cell>
        </row>
        <row r="174">
          <cell r="A174">
            <v>563</v>
          </cell>
          <cell r="H174">
            <v>50522</v>
          </cell>
          <cell r="S174" t="str">
            <v>36</v>
          </cell>
        </row>
        <row r="175">
          <cell r="A175">
            <v>52</v>
          </cell>
          <cell r="H175">
            <v>11000</v>
          </cell>
          <cell r="I175">
            <v>11000</v>
          </cell>
          <cell r="S175" t="str">
            <v>36</v>
          </cell>
        </row>
        <row r="176">
          <cell r="A176">
            <v>563</v>
          </cell>
          <cell r="H176">
            <v>7587.8240095560413</v>
          </cell>
          <cell r="S176" t="str">
            <v>31</v>
          </cell>
        </row>
        <row r="177">
          <cell r="A177">
            <v>563</v>
          </cell>
          <cell r="H177">
            <v>1252</v>
          </cell>
          <cell r="S177" t="str">
            <v>31</v>
          </cell>
        </row>
        <row r="178">
          <cell r="A178">
            <v>563</v>
          </cell>
          <cell r="H178">
            <v>303</v>
          </cell>
          <cell r="S178" t="str">
            <v>32</v>
          </cell>
        </row>
        <row r="179">
          <cell r="A179">
            <v>563</v>
          </cell>
          <cell r="H179">
            <v>1593</v>
          </cell>
          <cell r="S179" t="str">
            <v>32</v>
          </cell>
        </row>
        <row r="180">
          <cell r="A180">
            <v>563</v>
          </cell>
          <cell r="H180">
            <v>28865</v>
          </cell>
          <cell r="S180" t="str">
            <v>32</v>
          </cell>
        </row>
        <row r="181">
          <cell r="A181">
            <v>563</v>
          </cell>
          <cell r="H181">
            <v>3097</v>
          </cell>
          <cell r="S181" t="str">
            <v>32</v>
          </cell>
        </row>
        <row r="182">
          <cell r="A182">
            <v>563</v>
          </cell>
          <cell r="H182">
            <v>1274417</v>
          </cell>
          <cell r="S182" t="str">
            <v>42</v>
          </cell>
        </row>
        <row r="183">
          <cell r="S183" t="str">
            <v/>
          </cell>
        </row>
        <row r="184">
          <cell r="S184" t="str">
            <v/>
          </cell>
        </row>
        <row r="185">
          <cell r="A185">
            <v>52</v>
          </cell>
          <cell r="S185" t="str">
            <v>31</v>
          </cell>
        </row>
        <row r="186">
          <cell r="A186">
            <v>52</v>
          </cell>
          <cell r="S186" t="str">
            <v>31</v>
          </cell>
        </row>
        <row r="187">
          <cell r="A187">
            <v>52</v>
          </cell>
          <cell r="S187" t="str">
            <v>31</v>
          </cell>
        </row>
        <row r="188">
          <cell r="A188">
            <v>52</v>
          </cell>
          <cell r="S188" t="str">
            <v>32</v>
          </cell>
        </row>
        <row r="189">
          <cell r="A189">
            <v>52</v>
          </cell>
          <cell r="S189" t="str">
            <v>32</v>
          </cell>
        </row>
        <row r="190">
          <cell r="A190">
            <v>52</v>
          </cell>
          <cell r="S190" t="str">
            <v>32</v>
          </cell>
        </row>
        <row r="191">
          <cell r="A191">
            <v>52</v>
          </cell>
          <cell r="S191" t="str">
            <v>32</v>
          </cell>
        </row>
        <row r="192">
          <cell r="A192">
            <v>52</v>
          </cell>
          <cell r="S192" t="str">
            <v>32</v>
          </cell>
        </row>
        <row r="193">
          <cell r="A193">
            <v>52</v>
          </cell>
          <cell r="S193" t="str">
            <v>32</v>
          </cell>
        </row>
        <row r="194">
          <cell r="A194">
            <v>52</v>
          </cell>
          <cell r="S194" t="str">
            <v>32</v>
          </cell>
        </row>
        <row r="195">
          <cell r="A195">
            <v>52</v>
          </cell>
          <cell r="S195" t="str">
            <v>32</v>
          </cell>
        </row>
        <row r="196">
          <cell r="A196">
            <v>52</v>
          </cell>
          <cell r="S196" t="str">
            <v>32</v>
          </cell>
        </row>
        <row r="197">
          <cell r="A197">
            <v>52</v>
          </cell>
          <cell r="S197" t="str">
            <v>32</v>
          </cell>
        </row>
        <row r="198">
          <cell r="A198">
            <v>52</v>
          </cell>
          <cell r="S198" t="str">
            <v>32</v>
          </cell>
        </row>
        <row r="199">
          <cell r="A199">
            <v>52</v>
          </cell>
          <cell r="S199" t="str">
            <v>32</v>
          </cell>
        </row>
        <row r="200">
          <cell r="A200">
            <v>52</v>
          </cell>
          <cell r="H200">
            <v>15</v>
          </cell>
          <cell r="S200" t="str">
            <v>34</v>
          </cell>
        </row>
        <row r="201">
          <cell r="A201">
            <v>52</v>
          </cell>
          <cell r="S201" t="str">
            <v>37</v>
          </cell>
        </row>
        <row r="202">
          <cell r="S202" t="str">
            <v/>
          </cell>
        </row>
        <row r="203">
          <cell r="S203" t="str">
            <v/>
          </cell>
        </row>
        <row r="204">
          <cell r="S204" t="str">
            <v/>
          </cell>
        </row>
        <row r="205">
          <cell r="A205">
            <v>52</v>
          </cell>
          <cell r="H205">
            <v>37159</v>
          </cell>
          <cell r="S205" t="str">
            <v>31</v>
          </cell>
        </row>
        <row r="206">
          <cell r="A206">
            <v>52</v>
          </cell>
          <cell r="H206">
            <v>1000</v>
          </cell>
          <cell r="S206" t="str">
            <v>31</v>
          </cell>
        </row>
        <row r="207">
          <cell r="A207">
            <v>52</v>
          </cell>
          <cell r="H207">
            <v>5970</v>
          </cell>
          <cell r="S207" t="str">
            <v>31</v>
          </cell>
        </row>
        <row r="208">
          <cell r="A208">
            <v>52</v>
          </cell>
          <cell r="H208">
            <v>13272</v>
          </cell>
          <cell r="S208" t="str">
            <v>32</v>
          </cell>
        </row>
        <row r="209">
          <cell r="A209">
            <v>52</v>
          </cell>
          <cell r="H209">
            <v>26420</v>
          </cell>
          <cell r="S209" t="str">
            <v>32</v>
          </cell>
        </row>
        <row r="210">
          <cell r="A210">
            <v>52</v>
          </cell>
          <cell r="H210">
            <v>2652</v>
          </cell>
          <cell r="S210" t="str">
            <v>32</v>
          </cell>
        </row>
        <row r="211">
          <cell r="A211">
            <v>52</v>
          </cell>
          <cell r="H211">
            <v>503</v>
          </cell>
          <cell r="S211" t="str">
            <v>32</v>
          </cell>
        </row>
        <row r="212">
          <cell r="A212">
            <v>52</v>
          </cell>
          <cell r="H212">
            <v>107</v>
          </cell>
          <cell r="S212" t="str">
            <v>32</v>
          </cell>
        </row>
        <row r="213">
          <cell r="A213">
            <v>52</v>
          </cell>
          <cell r="H213">
            <v>398</v>
          </cell>
          <cell r="S213" t="str">
            <v>32</v>
          </cell>
        </row>
        <row r="214">
          <cell r="A214">
            <v>52</v>
          </cell>
          <cell r="H214">
            <v>4644</v>
          </cell>
          <cell r="S214" t="str">
            <v>32</v>
          </cell>
        </row>
        <row r="215">
          <cell r="A215">
            <v>52</v>
          </cell>
          <cell r="H215">
            <v>1591</v>
          </cell>
          <cell r="S215" t="str">
            <v>32</v>
          </cell>
        </row>
        <row r="216">
          <cell r="A216">
            <v>52</v>
          </cell>
          <cell r="H216">
            <v>2654</v>
          </cell>
          <cell r="S216" t="str">
            <v>32</v>
          </cell>
        </row>
        <row r="217">
          <cell r="A217">
            <v>52</v>
          </cell>
          <cell r="H217">
            <v>1061</v>
          </cell>
          <cell r="S217" t="str">
            <v>32</v>
          </cell>
        </row>
        <row r="218">
          <cell r="A218">
            <v>52</v>
          </cell>
          <cell r="H218">
            <v>5045</v>
          </cell>
          <cell r="S218" t="str">
            <v>32</v>
          </cell>
        </row>
        <row r="219">
          <cell r="A219">
            <v>52</v>
          </cell>
          <cell r="H219">
            <v>2387</v>
          </cell>
          <cell r="S219" t="str">
            <v>32</v>
          </cell>
        </row>
        <row r="220">
          <cell r="A220">
            <v>52</v>
          </cell>
          <cell r="H220">
            <v>1101</v>
          </cell>
          <cell r="S220" t="str">
            <v>34</v>
          </cell>
        </row>
        <row r="221">
          <cell r="A221">
            <v>52</v>
          </cell>
          <cell r="H221">
            <v>285265</v>
          </cell>
          <cell r="S221" t="str">
            <v>37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 t="str">
            <v/>
          </cell>
        </row>
        <row r="225">
          <cell r="A225">
            <v>52</v>
          </cell>
          <cell r="I225">
            <v>37162</v>
          </cell>
          <cell r="S225" t="str">
            <v>31</v>
          </cell>
        </row>
        <row r="226">
          <cell r="A226">
            <v>52</v>
          </cell>
          <cell r="I226">
            <v>1001</v>
          </cell>
          <cell r="S226" t="str">
            <v>31</v>
          </cell>
        </row>
        <row r="227">
          <cell r="A227">
            <v>52</v>
          </cell>
          <cell r="I227">
            <v>5971</v>
          </cell>
          <cell r="S227" t="str">
            <v>31</v>
          </cell>
        </row>
        <row r="228">
          <cell r="A228">
            <v>52</v>
          </cell>
          <cell r="H228">
            <v>10009</v>
          </cell>
          <cell r="I228">
            <v>13272</v>
          </cell>
          <cell r="S228" t="str">
            <v>32</v>
          </cell>
        </row>
        <row r="229">
          <cell r="A229">
            <v>52</v>
          </cell>
          <cell r="H229">
            <v>332</v>
          </cell>
          <cell r="I229">
            <v>464</v>
          </cell>
          <cell r="S229" t="str">
            <v>32</v>
          </cell>
        </row>
        <row r="230">
          <cell r="A230">
            <v>52</v>
          </cell>
          <cell r="H230">
            <v>2002</v>
          </cell>
          <cell r="I230">
            <v>2655</v>
          </cell>
          <cell r="S230" t="str">
            <v>32</v>
          </cell>
        </row>
        <row r="231">
          <cell r="A231">
            <v>52</v>
          </cell>
          <cell r="H231">
            <v>583</v>
          </cell>
          <cell r="I231">
            <v>503</v>
          </cell>
          <cell r="S231" t="str">
            <v>32</v>
          </cell>
        </row>
        <row r="232">
          <cell r="A232">
            <v>52</v>
          </cell>
          <cell r="H232">
            <v>67</v>
          </cell>
          <cell r="I232">
            <v>106</v>
          </cell>
          <cell r="S232" t="str">
            <v>32</v>
          </cell>
        </row>
        <row r="233">
          <cell r="A233">
            <v>52</v>
          </cell>
          <cell r="H233">
            <v>332</v>
          </cell>
          <cell r="I233">
            <v>398</v>
          </cell>
          <cell r="S233" t="str">
            <v>32</v>
          </cell>
        </row>
        <row r="234">
          <cell r="A234">
            <v>52</v>
          </cell>
          <cell r="H234">
            <v>1327</v>
          </cell>
          <cell r="I234">
            <v>464</v>
          </cell>
          <cell r="S234" t="str">
            <v>32</v>
          </cell>
        </row>
        <row r="235">
          <cell r="A235">
            <v>52</v>
          </cell>
          <cell r="H235">
            <v>1061</v>
          </cell>
          <cell r="I235">
            <v>1591</v>
          </cell>
          <cell r="S235" t="str">
            <v>32</v>
          </cell>
        </row>
        <row r="236">
          <cell r="A236">
            <v>52</v>
          </cell>
          <cell r="H236">
            <v>2002</v>
          </cell>
          <cell r="I236">
            <v>2655</v>
          </cell>
          <cell r="S236" t="str">
            <v>32</v>
          </cell>
        </row>
        <row r="237">
          <cell r="A237">
            <v>52</v>
          </cell>
          <cell r="H237">
            <v>663</v>
          </cell>
          <cell r="I237">
            <v>1061</v>
          </cell>
          <cell r="S237" t="str">
            <v>32</v>
          </cell>
        </row>
        <row r="238">
          <cell r="A238">
            <v>52</v>
          </cell>
          <cell r="H238">
            <v>4114</v>
          </cell>
          <cell r="I238">
            <v>5043</v>
          </cell>
          <cell r="S238" t="str">
            <v>32</v>
          </cell>
        </row>
        <row r="239">
          <cell r="A239">
            <v>52</v>
          </cell>
          <cell r="H239">
            <v>2389</v>
          </cell>
          <cell r="I239">
            <v>2388</v>
          </cell>
          <cell r="S239" t="str">
            <v>32</v>
          </cell>
        </row>
        <row r="240">
          <cell r="A240">
            <v>52</v>
          </cell>
          <cell r="H240">
            <v>915</v>
          </cell>
          <cell r="I240">
            <v>1101</v>
          </cell>
          <cell r="S240" t="str">
            <v>34</v>
          </cell>
        </row>
        <row r="241">
          <cell r="A241">
            <v>52</v>
          </cell>
          <cell r="H241">
            <v>96920</v>
          </cell>
          <cell r="I241">
            <v>43798</v>
          </cell>
          <cell r="S241" t="str">
            <v>37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 t="str">
            <v/>
          </cell>
        </row>
        <row r="245">
          <cell r="A245">
            <v>52</v>
          </cell>
          <cell r="H245">
            <v>8098</v>
          </cell>
          <cell r="S245" t="str">
            <v>31</v>
          </cell>
        </row>
        <row r="246">
          <cell r="A246">
            <v>52</v>
          </cell>
          <cell r="H246">
            <v>928</v>
          </cell>
          <cell r="S246" t="str">
            <v>31</v>
          </cell>
        </row>
        <row r="247">
          <cell r="A247">
            <v>52</v>
          </cell>
          <cell r="H247">
            <v>1332</v>
          </cell>
          <cell r="S247" t="str">
            <v>31</v>
          </cell>
        </row>
        <row r="248">
          <cell r="A248">
            <v>52</v>
          </cell>
          <cell r="H248">
            <v>3318</v>
          </cell>
          <cell r="S248" t="str">
            <v>32</v>
          </cell>
        </row>
        <row r="249">
          <cell r="A249">
            <v>52</v>
          </cell>
          <cell r="H249">
            <v>278</v>
          </cell>
          <cell r="S249" t="str">
            <v>32</v>
          </cell>
        </row>
        <row r="250">
          <cell r="A250">
            <v>52</v>
          </cell>
          <cell r="H250">
            <v>63</v>
          </cell>
          <cell r="S250" t="str">
            <v>34</v>
          </cell>
        </row>
        <row r="251">
          <cell r="A251">
            <v>52</v>
          </cell>
          <cell r="H251">
            <v>50509</v>
          </cell>
          <cell r="S251" t="str">
            <v>37</v>
          </cell>
        </row>
        <row r="252">
          <cell r="S252" t="str">
            <v/>
          </cell>
        </row>
        <row r="253">
          <cell r="S253" t="str">
            <v/>
          </cell>
        </row>
        <row r="254">
          <cell r="S254" t="str">
            <v/>
          </cell>
        </row>
        <row r="255">
          <cell r="A255">
            <v>52</v>
          </cell>
          <cell r="H255">
            <v>5840</v>
          </cell>
          <cell r="I255">
            <v>6768</v>
          </cell>
          <cell r="J255">
            <v>8096</v>
          </cell>
          <cell r="S255" t="str">
            <v>31</v>
          </cell>
        </row>
        <row r="256">
          <cell r="A256">
            <v>52</v>
          </cell>
          <cell r="H256">
            <v>530</v>
          </cell>
          <cell r="I256">
            <v>0</v>
          </cell>
          <cell r="J256">
            <v>928</v>
          </cell>
          <cell r="S256" t="str">
            <v>31</v>
          </cell>
        </row>
        <row r="257">
          <cell r="A257">
            <v>52</v>
          </cell>
          <cell r="H257">
            <v>597</v>
          </cell>
          <cell r="I257">
            <v>1121</v>
          </cell>
          <cell r="J257">
            <v>1332</v>
          </cell>
          <cell r="S257" t="str">
            <v>31</v>
          </cell>
        </row>
        <row r="258">
          <cell r="A258">
            <v>52</v>
          </cell>
          <cell r="H258">
            <v>1061</v>
          </cell>
          <cell r="I258">
            <v>3583</v>
          </cell>
          <cell r="J258">
            <v>3319</v>
          </cell>
          <cell r="S258" t="str">
            <v>32</v>
          </cell>
        </row>
        <row r="259">
          <cell r="A259">
            <v>52</v>
          </cell>
          <cell r="H259">
            <v>66</v>
          </cell>
          <cell r="I259">
            <v>244</v>
          </cell>
          <cell r="J259">
            <v>278</v>
          </cell>
          <cell r="S259" t="str">
            <v>32</v>
          </cell>
        </row>
        <row r="260">
          <cell r="A260">
            <v>52</v>
          </cell>
          <cell r="H260">
            <v>66</v>
          </cell>
          <cell r="I260">
            <v>26</v>
          </cell>
          <cell r="J260">
            <v>66</v>
          </cell>
          <cell r="S260" t="str">
            <v>34</v>
          </cell>
        </row>
        <row r="261">
          <cell r="A261">
            <v>52</v>
          </cell>
          <cell r="H261">
            <v>31029</v>
          </cell>
          <cell r="I261">
            <v>83477</v>
          </cell>
          <cell r="J261">
            <v>19975</v>
          </cell>
          <cell r="S261" t="str">
            <v>37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 t="str">
            <v/>
          </cell>
        </row>
        <row r="265">
          <cell r="A265">
            <v>52</v>
          </cell>
          <cell r="H265">
            <v>5456</v>
          </cell>
          <cell r="S265" t="str">
            <v>36</v>
          </cell>
        </row>
        <row r="266">
          <cell r="A266">
            <v>52</v>
          </cell>
          <cell r="H266">
            <v>5654</v>
          </cell>
          <cell r="S266" t="str">
            <v>36</v>
          </cell>
        </row>
        <row r="267">
          <cell r="A267">
            <v>52</v>
          </cell>
          <cell r="H267">
            <v>87500</v>
          </cell>
          <cell r="S267" t="str">
            <v>36</v>
          </cell>
        </row>
        <row r="268">
          <cell r="A268">
            <v>52</v>
          </cell>
          <cell r="H268">
            <v>55950</v>
          </cell>
          <cell r="S268" t="str">
            <v>36</v>
          </cell>
        </row>
        <row r="269">
          <cell r="A269">
            <v>52</v>
          </cell>
          <cell r="H269">
            <v>33555</v>
          </cell>
          <cell r="S269" t="str">
            <v>36</v>
          </cell>
        </row>
        <row r="270">
          <cell r="A270">
            <v>52</v>
          </cell>
          <cell r="H270">
            <v>22650</v>
          </cell>
          <cell r="S270" t="str">
            <v>36</v>
          </cell>
        </row>
        <row r="271">
          <cell r="A271">
            <v>52</v>
          </cell>
          <cell r="H271">
            <v>8555</v>
          </cell>
          <cell r="S271" t="str">
            <v>36</v>
          </cell>
        </row>
        <row r="272">
          <cell r="A272">
            <v>52</v>
          </cell>
          <cell r="H272">
            <v>7827</v>
          </cell>
          <cell r="S272" t="str">
            <v>36</v>
          </cell>
        </row>
        <row r="273">
          <cell r="A273">
            <v>52</v>
          </cell>
          <cell r="H273">
            <v>29857</v>
          </cell>
          <cell r="S273" t="str">
            <v>36</v>
          </cell>
        </row>
        <row r="274">
          <cell r="A274">
            <v>52</v>
          </cell>
          <cell r="H274">
            <v>23524</v>
          </cell>
          <cell r="S274" t="str">
            <v>36</v>
          </cell>
        </row>
        <row r="275">
          <cell r="A275">
            <v>52</v>
          </cell>
          <cell r="H275">
            <v>7458</v>
          </cell>
          <cell r="S275" t="str">
            <v>36</v>
          </cell>
        </row>
        <row r="276">
          <cell r="A276">
            <v>52</v>
          </cell>
          <cell r="H276">
            <v>2055</v>
          </cell>
          <cell r="S276" t="str">
            <v>36</v>
          </cell>
        </row>
        <row r="277">
          <cell r="A277">
            <v>52</v>
          </cell>
          <cell r="H277">
            <v>9567</v>
          </cell>
          <cell r="S277" t="str">
            <v>36</v>
          </cell>
        </row>
        <row r="278">
          <cell r="A278">
            <v>52</v>
          </cell>
          <cell r="H278">
            <v>14699</v>
          </cell>
          <cell r="S278" t="str">
            <v>36</v>
          </cell>
        </row>
        <row r="279">
          <cell r="A279">
            <v>52</v>
          </cell>
          <cell r="H279">
            <v>3050</v>
          </cell>
          <cell r="S279" t="str">
            <v>36</v>
          </cell>
        </row>
        <row r="280">
          <cell r="A280">
            <v>52</v>
          </cell>
          <cell r="H280">
            <v>77500</v>
          </cell>
          <cell r="I280">
            <v>19564</v>
          </cell>
          <cell r="J280">
            <v>7541</v>
          </cell>
          <cell r="S280" t="str">
            <v>36</v>
          </cell>
        </row>
        <row r="281">
          <cell r="A281">
            <v>52</v>
          </cell>
          <cell r="H281">
            <v>25477</v>
          </cell>
          <cell r="I281">
            <v>12555</v>
          </cell>
          <cell r="J281">
            <v>4000</v>
          </cell>
          <cell r="S281" t="str">
            <v>36</v>
          </cell>
        </row>
        <row r="282">
          <cell r="A282">
            <v>52</v>
          </cell>
          <cell r="H282">
            <v>40000</v>
          </cell>
          <cell r="I282">
            <v>43522</v>
          </cell>
          <cell r="J282">
            <v>3000</v>
          </cell>
          <cell r="S282" t="str">
            <v>36</v>
          </cell>
        </row>
        <row r="283">
          <cell r="A283">
            <v>52</v>
          </cell>
          <cell r="H283">
            <v>15000</v>
          </cell>
          <cell r="I283">
            <v>22100</v>
          </cell>
          <cell r="J283">
            <v>8659</v>
          </cell>
          <cell r="S283" t="str">
            <v>36</v>
          </cell>
        </row>
        <row r="284">
          <cell r="A284">
            <v>52</v>
          </cell>
          <cell r="H284">
            <v>2000</v>
          </cell>
          <cell r="I284">
            <v>7522</v>
          </cell>
          <cell r="J284">
            <v>4588</v>
          </cell>
          <cell r="S284" t="str">
            <v>36</v>
          </cell>
        </row>
        <row r="285">
          <cell r="A285">
            <v>52</v>
          </cell>
          <cell r="H285">
            <v>5000</v>
          </cell>
          <cell r="I285">
            <v>9635</v>
          </cell>
          <cell r="J285">
            <v>3855</v>
          </cell>
          <cell r="S285" t="str">
            <v>36</v>
          </cell>
        </row>
        <row r="286">
          <cell r="A286">
            <v>52</v>
          </cell>
          <cell r="H286">
            <v>21000</v>
          </cell>
          <cell r="I286">
            <v>9588</v>
          </cell>
          <cell r="J286">
            <v>2654</v>
          </cell>
          <cell r="S286" t="str">
            <v>36</v>
          </cell>
        </row>
        <row r="287">
          <cell r="A287">
            <v>52</v>
          </cell>
          <cell r="H287">
            <v>18000</v>
          </cell>
          <cell r="I287">
            <v>10000</v>
          </cell>
          <cell r="J287">
            <v>6544</v>
          </cell>
          <cell r="S287" t="str">
            <v>36</v>
          </cell>
        </row>
        <row r="288">
          <cell r="A288">
            <v>52</v>
          </cell>
          <cell r="H288">
            <v>3500</v>
          </cell>
          <cell r="I288">
            <v>8569</v>
          </cell>
          <cell r="J288">
            <v>1555</v>
          </cell>
          <cell r="S288" t="str">
            <v>36</v>
          </cell>
        </row>
        <row r="289">
          <cell r="A289">
            <v>52</v>
          </cell>
          <cell r="H289">
            <v>2000</v>
          </cell>
          <cell r="I289">
            <v>3255</v>
          </cell>
          <cell r="J289">
            <v>1211</v>
          </cell>
          <cell r="S289" t="str">
            <v>36</v>
          </cell>
        </row>
        <row r="290">
          <cell r="A290">
            <v>52</v>
          </cell>
          <cell r="H290">
            <v>3000</v>
          </cell>
          <cell r="I290">
            <v>8475</v>
          </cell>
          <cell r="J290">
            <v>2455</v>
          </cell>
          <cell r="S290" t="str">
            <v>36</v>
          </cell>
        </row>
        <row r="291">
          <cell r="A291">
            <v>52</v>
          </cell>
          <cell r="H291">
            <v>8000</v>
          </cell>
          <cell r="I291">
            <v>6955</v>
          </cell>
          <cell r="J291">
            <v>9225</v>
          </cell>
          <cell r="S291" t="str">
            <v>36</v>
          </cell>
        </row>
        <row r="292">
          <cell r="A292">
            <v>52</v>
          </cell>
          <cell r="H292">
            <v>2000</v>
          </cell>
          <cell r="J292">
            <v>1090</v>
          </cell>
          <cell r="S292" t="str">
            <v>36</v>
          </cell>
        </row>
        <row r="293">
          <cell r="A293">
            <v>52</v>
          </cell>
          <cell r="H293">
            <v>12500</v>
          </cell>
          <cell r="S293" t="str">
            <v>36</v>
          </cell>
        </row>
        <row r="294">
          <cell r="A294">
            <v>52</v>
          </cell>
          <cell r="H294">
            <v>18573</v>
          </cell>
          <cell r="S294" t="str">
            <v>36</v>
          </cell>
        </row>
        <row r="295">
          <cell r="A295">
            <v>52</v>
          </cell>
          <cell r="H295">
            <v>8000</v>
          </cell>
          <cell r="S295" t="str">
            <v>36</v>
          </cell>
        </row>
        <row r="296">
          <cell r="A296">
            <v>52</v>
          </cell>
          <cell r="H296">
            <v>2000</v>
          </cell>
          <cell r="S296" t="str">
            <v>36</v>
          </cell>
        </row>
        <row r="297">
          <cell r="A297">
            <v>52</v>
          </cell>
          <cell r="H297">
            <v>1000</v>
          </cell>
          <cell r="S297" t="str">
            <v>36</v>
          </cell>
        </row>
        <row r="298">
          <cell r="A298">
            <v>52</v>
          </cell>
          <cell r="H298">
            <v>1500</v>
          </cell>
          <cell r="S298" t="str">
            <v>36</v>
          </cell>
        </row>
        <row r="299">
          <cell r="A299">
            <v>52</v>
          </cell>
          <cell r="H299">
            <v>4500</v>
          </cell>
          <cell r="S299" t="str">
            <v>36</v>
          </cell>
        </row>
        <row r="300">
          <cell r="A300">
            <v>52</v>
          </cell>
          <cell r="H300">
            <v>1000</v>
          </cell>
          <cell r="S300" t="str">
            <v>36</v>
          </cell>
        </row>
        <row r="301">
          <cell r="A301">
            <v>52</v>
          </cell>
          <cell r="H301">
            <v>500</v>
          </cell>
          <cell r="S301" t="str">
            <v>36</v>
          </cell>
        </row>
        <row r="302">
          <cell r="A302">
            <v>52</v>
          </cell>
          <cell r="H302">
            <v>800</v>
          </cell>
          <cell r="S302" t="str">
            <v>36</v>
          </cell>
        </row>
        <row r="303">
          <cell r="A303">
            <v>52</v>
          </cell>
          <cell r="H303">
            <v>1200</v>
          </cell>
          <cell r="S303" t="str">
            <v>36</v>
          </cell>
        </row>
        <row r="304">
          <cell r="A304">
            <v>52</v>
          </cell>
          <cell r="H304">
            <v>400</v>
          </cell>
          <cell r="S304" t="str">
            <v>36</v>
          </cell>
        </row>
        <row r="305">
          <cell r="A305">
            <v>52</v>
          </cell>
          <cell r="H305">
            <v>12500</v>
          </cell>
          <cell r="I305">
            <v>10000</v>
          </cell>
          <cell r="J305">
            <v>1000</v>
          </cell>
          <cell r="S305" t="str">
            <v>36</v>
          </cell>
        </row>
        <row r="306">
          <cell r="A306">
            <v>52</v>
          </cell>
          <cell r="H306">
            <v>30000</v>
          </cell>
          <cell r="I306">
            <v>6000</v>
          </cell>
          <cell r="J306">
            <v>1647</v>
          </cell>
          <cell r="S306" t="str">
            <v>36</v>
          </cell>
        </row>
        <row r="307">
          <cell r="A307">
            <v>52</v>
          </cell>
          <cell r="H307">
            <v>12000</v>
          </cell>
          <cell r="I307">
            <v>7934</v>
          </cell>
          <cell r="J307">
            <v>1588</v>
          </cell>
          <cell r="S307" t="str">
            <v>36</v>
          </cell>
        </row>
        <row r="308">
          <cell r="A308">
            <v>52</v>
          </cell>
          <cell r="H308">
            <v>3000</v>
          </cell>
          <cell r="I308">
            <v>11111</v>
          </cell>
          <cell r="S308" t="str">
            <v>36</v>
          </cell>
        </row>
        <row r="309">
          <cell r="A309">
            <v>52</v>
          </cell>
          <cell r="H309">
            <v>3000</v>
          </cell>
          <cell r="S309" t="str">
            <v>36</v>
          </cell>
        </row>
        <row r="310">
          <cell r="A310">
            <v>52</v>
          </cell>
          <cell r="H310">
            <v>2500</v>
          </cell>
          <cell r="S310" t="str">
            <v>36</v>
          </cell>
        </row>
        <row r="311">
          <cell r="A311">
            <v>52</v>
          </cell>
          <cell r="H311">
            <v>4500</v>
          </cell>
          <cell r="S311" t="str">
            <v>36</v>
          </cell>
        </row>
        <row r="312">
          <cell r="A312">
            <v>52</v>
          </cell>
          <cell r="H312">
            <v>1000</v>
          </cell>
          <cell r="I312">
            <v>1456</v>
          </cell>
          <cell r="S312" t="str">
            <v>36</v>
          </cell>
        </row>
        <row r="313">
          <cell r="A313">
            <v>52</v>
          </cell>
          <cell r="H313">
            <v>1000</v>
          </cell>
          <cell r="S313" t="str">
            <v>36</v>
          </cell>
        </row>
        <row r="314">
          <cell r="A314">
            <v>52</v>
          </cell>
          <cell r="H314">
            <v>1200</v>
          </cell>
          <cell r="S314" t="str">
            <v>36</v>
          </cell>
        </row>
        <row r="315">
          <cell r="A315">
            <v>52</v>
          </cell>
          <cell r="H315">
            <v>1800</v>
          </cell>
          <cell r="I315">
            <v>4000</v>
          </cell>
          <cell r="S315" t="str">
            <v>36</v>
          </cell>
        </row>
        <row r="316">
          <cell r="A316">
            <v>52</v>
          </cell>
          <cell r="H316">
            <v>1600</v>
          </cell>
          <cell r="I316">
            <v>7116</v>
          </cell>
          <cell r="S316" t="str">
            <v>36</v>
          </cell>
        </row>
        <row r="317">
          <cell r="A317">
            <v>52</v>
          </cell>
          <cell r="I317">
            <v>1011</v>
          </cell>
          <cell r="S317" t="str">
            <v>36</v>
          </cell>
        </row>
        <row r="318">
          <cell r="S318" t="str">
            <v/>
          </cell>
        </row>
        <row r="319">
          <cell r="S319" t="str">
            <v/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 t="str">
            <v/>
          </cell>
        </row>
        <row r="323">
          <cell r="S323" t="str">
            <v/>
          </cell>
        </row>
        <row r="324">
          <cell r="S324" t="str">
            <v/>
          </cell>
        </row>
        <row r="325">
          <cell r="S325" t="str">
            <v/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 t="str">
            <v/>
          </cell>
        </row>
        <row r="329">
          <cell r="S329" t="str">
            <v/>
          </cell>
        </row>
        <row r="330">
          <cell r="S330" t="str">
            <v/>
          </cell>
        </row>
        <row r="331">
          <cell r="S331" t="str">
            <v/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 t="str">
            <v/>
          </cell>
        </row>
        <row r="335">
          <cell r="S335" t="str">
            <v/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 t="str">
            <v/>
          </cell>
        </row>
        <row r="341">
          <cell r="S341" t="str">
            <v/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 t="str">
            <v/>
          </cell>
        </row>
        <row r="347">
          <cell r="S347" t="str">
            <v/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 t="str">
            <v/>
          </cell>
        </row>
        <row r="353">
          <cell r="S353" t="str">
            <v/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 t="str">
            <v/>
          </cell>
        </row>
        <row r="359">
          <cell r="S359" t="str">
            <v/>
          </cell>
        </row>
        <row r="360">
          <cell r="S360" t="str">
            <v/>
          </cell>
        </row>
        <row r="361">
          <cell r="S361" t="str">
            <v/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 t="str">
            <v/>
          </cell>
        </row>
        <row r="365">
          <cell r="S365" t="str">
            <v/>
          </cell>
        </row>
        <row r="366">
          <cell r="S366" t="str">
            <v/>
          </cell>
        </row>
        <row r="367">
          <cell r="S367" t="str">
            <v/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 t="str">
            <v/>
          </cell>
        </row>
        <row r="371">
          <cell r="S371" t="str">
            <v/>
          </cell>
        </row>
        <row r="372">
          <cell r="S372" t="str">
            <v/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 t="str">
            <v/>
          </cell>
        </row>
        <row r="377">
          <cell r="S377" t="str">
            <v/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 t="str">
            <v/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 t="str">
            <v/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 t="str">
            <v/>
          </cell>
        </row>
        <row r="391">
          <cell r="S391" t="str">
            <v/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 t="str">
            <v/>
          </cell>
        </row>
        <row r="396">
          <cell r="S396" t="str">
            <v/>
          </cell>
        </row>
        <row r="397">
          <cell r="S397" t="str">
            <v/>
          </cell>
        </row>
        <row r="398">
          <cell r="S398" t="str">
            <v/>
          </cell>
        </row>
        <row r="399">
          <cell r="S399" t="str">
            <v/>
          </cell>
        </row>
        <row r="400">
          <cell r="S400" t="str">
            <v/>
          </cell>
        </row>
        <row r="401">
          <cell r="S401" t="str">
            <v/>
          </cell>
        </row>
        <row r="402">
          <cell r="S402" t="str">
            <v/>
          </cell>
        </row>
        <row r="403">
          <cell r="S403" t="str">
            <v/>
          </cell>
        </row>
        <row r="404">
          <cell r="S404" t="str">
            <v/>
          </cell>
        </row>
        <row r="405">
          <cell r="S405" t="str">
            <v/>
          </cell>
        </row>
        <row r="406">
          <cell r="S406" t="str">
            <v/>
          </cell>
        </row>
        <row r="407">
          <cell r="S407" t="str">
            <v/>
          </cell>
        </row>
        <row r="408">
          <cell r="S408" t="str">
            <v/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 t="str">
            <v/>
          </cell>
        </row>
        <row r="412">
          <cell r="S412" t="str">
            <v/>
          </cell>
        </row>
        <row r="413">
          <cell r="S413" t="str">
            <v/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 t="str">
            <v/>
          </cell>
        </row>
        <row r="417">
          <cell r="S417" t="str">
            <v/>
          </cell>
        </row>
        <row r="418">
          <cell r="S418" t="str">
            <v/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 t="str">
            <v/>
          </cell>
        </row>
        <row r="422">
          <cell r="S422" t="str">
            <v/>
          </cell>
        </row>
        <row r="423">
          <cell r="S423" t="str">
            <v/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 t="str">
            <v/>
          </cell>
        </row>
        <row r="427">
          <cell r="S427" t="str">
            <v/>
          </cell>
        </row>
        <row r="428">
          <cell r="S428" t="str">
            <v/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 t="str">
            <v/>
          </cell>
        </row>
        <row r="432">
          <cell r="S432" t="str">
            <v/>
          </cell>
        </row>
        <row r="433">
          <cell r="S433" t="str">
            <v/>
          </cell>
        </row>
        <row r="434">
          <cell r="S434" t="str">
            <v/>
          </cell>
        </row>
        <row r="435">
          <cell r="S435" t="str">
            <v/>
          </cell>
        </row>
        <row r="436">
          <cell r="S436" t="str">
            <v/>
          </cell>
        </row>
        <row r="437">
          <cell r="S437" t="str">
            <v/>
          </cell>
        </row>
        <row r="438">
          <cell r="S438" t="str">
            <v/>
          </cell>
        </row>
        <row r="439">
          <cell r="S439" t="str">
            <v/>
          </cell>
        </row>
        <row r="440">
          <cell r="S440" t="str">
            <v/>
          </cell>
        </row>
        <row r="441">
          <cell r="S441" t="str">
            <v/>
          </cell>
        </row>
        <row r="442">
          <cell r="S442" t="str">
            <v/>
          </cell>
        </row>
        <row r="443">
          <cell r="S443" t="str">
            <v/>
          </cell>
        </row>
        <row r="444">
          <cell r="S444" t="str">
            <v/>
          </cell>
        </row>
        <row r="445">
          <cell r="S445" t="str">
            <v/>
          </cell>
        </row>
        <row r="446">
          <cell r="S446" t="str">
            <v/>
          </cell>
        </row>
        <row r="447">
          <cell r="S447" t="str">
            <v/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 t="str">
            <v/>
          </cell>
        </row>
        <row r="451">
          <cell r="S451" t="str">
            <v/>
          </cell>
        </row>
        <row r="452">
          <cell r="S452" t="str">
            <v/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 t="str">
            <v/>
          </cell>
        </row>
        <row r="456">
          <cell r="S456" t="str">
            <v/>
          </cell>
        </row>
        <row r="457">
          <cell r="S457" t="str">
            <v/>
          </cell>
        </row>
        <row r="458">
          <cell r="S458" t="str">
            <v/>
          </cell>
        </row>
        <row r="459">
          <cell r="S459" t="str">
            <v/>
          </cell>
        </row>
        <row r="460">
          <cell r="S460" t="str">
            <v/>
          </cell>
        </row>
        <row r="461">
          <cell r="S461" t="str">
            <v/>
          </cell>
        </row>
        <row r="462">
          <cell r="S462" t="str">
            <v/>
          </cell>
        </row>
        <row r="463">
          <cell r="S463" t="str">
            <v/>
          </cell>
        </row>
        <row r="464">
          <cell r="S464" t="str">
            <v/>
          </cell>
        </row>
        <row r="465">
          <cell r="S465" t="str">
            <v/>
          </cell>
        </row>
        <row r="466">
          <cell r="S466" t="str">
            <v/>
          </cell>
        </row>
        <row r="467">
          <cell r="S467" t="str">
            <v/>
          </cell>
        </row>
        <row r="468">
          <cell r="S468" t="str">
            <v/>
          </cell>
        </row>
        <row r="469">
          <cell r="S469" t="str">
            <v/>
          </cell>
        </row>
        <row r="470">
          <cell r="S470" t="str">
            <v/>
          </cell>
        </row>
        <row r="471">
          <cell r="S471" t="str">
            <v/>
          </cell>
        </row>
        <row r="472">
          <cell r="S472" t="str">
            <v/>
          </cell>
        </row>
        <row r="473">
          <cell r="S473" t="str">
            <v/>
          </cell>
        </row>
        <row r="474">
          <cell r="S474" t="str">
            <v/>
          </cell>
        </row>
        <row r="475">
          <cell r="S475" t="str">
            <v/>
          </cell>
        </row>
        <row r="476">
          <cell r="S476" t="str">
            <v/>
          </cell>
        </row>
        <row r="477">
          <cell r="S477" t="str">
            <v/>
          </cell>
        </row>
        <row r="478">
          <cell r="S478" t="str">
            <v/>
          </cell>
        </row>
        <row r="479">
          <cell r="S479" t="str">
            <v/>
          </cell>
        </row>
        <row r="480">
          <cell r="S480" t="str">
            <v/>
          </cell>
        </row>
        <row r="481">
          <cell r="S481" t="str">
            <v/>
          </cell>
        </row>
        <row r="482">
          <cell r="S482" t="str">
            <v/>
          </cell>
        </row>
        <row r="483">
          <cell r="S483" t="str">
            <v/>
          </cell>
        </row>
        <row r="484">
          <cell r="S484" t="str">
            <v/>
          </cell>
        </row>
        <row r="485">
          <cell r="S485" t="str">
            <v/>
          </cell>
        </row>
        <row r="486">
          <cell r="S486" t="str">
            <v/>
          </cell>
        </row>
        <row r="487">
          <cell r="S487" t="str">
            <v/>
          </cell>
        </row>
        <row r="488">
          <cell r="S488" t="str">
            <v/>
          </cell>
        </row>
        <row r="489">
          <cell r="S489" t="str">
            <v/>
          </cell>
        </row>
        <row r="490">
          <cell r="S490" t="str">
            <v/>
          </cell>
        </row>
        <row r="491">
          <cell r="S491" t="str">
            <v/>
          </cell>
        </row>
        <row r="492">
          <cell r="S492" t="str">
            <v/>
          </cell>
        </row>
        <row r="493">
          <cell r="S493" t="str">
            <v/>
          </cell>
        </row>
        <row r="494">
          <cell r="S494" t="str">
            <v/>
          </cell>
        </row>
        <row r="495">
          <cell r="S495" t="str">
            <v/>
          </cell>
        </row>
        <row r="496">
          <cell r="S496" t="str">
            <v/>
          </cell>
        </row>
        <row r="497">
          <cell r="S497" t="str">
            <v/>
          </cell>
        </row>
        <row r="498">
          <cell r="S498" t="str">
            <v/>
          </cell>
        </row>
        <row r="499">
          <cell r="S499" t="str">
            <v/>
          </cell>
        </row>
        <row r="500">
          <cell r="S500" t="str">
            <v/>
          </cell>
        </row>
        <row r="501">
          <cell r="S501" t="str">
            <v/>
          </cell>
        </row>
      </sheetData>
      <sheetData sheetId="4"/>
      <sheetData sheetId="5"/>
      <sheetData sheetId="6">
        <row r="4">
          <cell r="E4">
            <v>8179748</v>
          </cell>
          <cell r="G4">
            <v>292253</v>
          </cell>
          <cell r="H4">
            <v>0</v>
          </cell>
          <cell r="I4">
            <v>3293381</v>
          </cell>
          <cell r="L4">
            <v>0</v>
          </cell>
          <cell r="M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U4">
            <v>0</v>
          </cell>
          <cell r="V4">
            <v>0</v>
          </cell>
          <cell r="W4">
            <v>0</v>
          </cell>
        </row>
        <row r="21">
          <cell r="F21">
            <v>0</v>
          </cell>
          <cell r="G21">
            <v>292021</v>
          </cell>
          <cell r="H21">
            <v>0</v>
          </cell>
          <cell r="I21">
            <v>2834376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</row>
        <row r="38">
          <cell r="F38">
            <v>0</v>
          </cell>
          <cell r="G38">
            <v>292021</v>
          </cell>
          <cell r="H38">
            <v>0</v>
          </cell>
          <cell r="I38">
            <v>2817786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8119-8215-4741-AA4F-355E4F2C7083}">
  <dimension ref="A1:V47"/>
  <sheetViews>
    <sheetView topLeftCell="C1" workbookViewId="0">
      <selection activeCell="F14" sqref="F14"/>
    </sheetView>
  </sheetViews>
  <sheetFormatPr defaultRowHeight="15" x14ac:dyDescent="0.25"/>
  <cols>
    <col min="1" max="1" width="7.140625" customWidth="1"/>
    <col min="2" max="2" width="8.28515625" customWidth="1"/>
    <col min="3" max="3" width="59" customWidth="1"/>
    <col min="4" max="4" width="14.85546875" customWidth="1"/>
    <col min="5" max="22" width="13.85546875" customWidth="1"/>
  </cols>
  <sheetData>
    <row r="1" spans="1:22" ht="21" x14ac:dyDescent="0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x14ac:dyDescent="0.25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1" x14ac:dyDescent="0.25">
      <c r="A3" s="1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x14ac:dyDescent="0.25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x14ac:dyDescent="0.25">
      <c r="A5" s="1"/>
      <c r="B5" s="66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x14ac:dyDescent="0.25">
      <c r="A6" s="2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2"/>
      <c r="U6" s="2"/>
      <c r="V6" s="5" t="s">
        <v>3</v>
      </c>
    </row>
    <row r="7" spans="1:22" ht="89.25" x14ac:dyDescent="0.25">
      <c r="A7" s="6" t="s">
        <v>4</v>
      </c>
      <c r="B7" s="7" t="s">
        <v>5</v>
      </c>
      <c r="C7" s="7" t="s">
        <v>6</v>
      </c>
      <c r="D7" s="8" t="s">
        <v>7</v>
      </c>
      <c r="E7" s="9" t="s">
        <v>8</v>
      </c>
      <c r="F7" s="9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1" t="s">
        <v>22</v>
      </c>
      <c r="T7" s="10" t="s">
        <v>23</v>
      </c>
      <c r="U7" s="11" t="s">
        <v>24</v>
      </c>
      <c r="V7" s="11" t="s">
        <v>25</v>
      </c>
    </row>
    <row r="8" spans="1:22" ht="21" x14ac:dyDescent="0.25">
      <c r="A8" s="12">
        <v>2023</v>
      </c>
      <c r="B8" s="13">
        <v>2023</v>
      </c>
      <c r="C8" s="13" t="s">
        <v>26</v>
      </c>
      <c r="D8" s="14">
        <f>SUM(E8:V8)</f>
        <v>14877763</v>
      </c>
      <c r="E8" s="14">
        <f>+E19+E16</f>
        <v>8179748</v>
      </c>
      <c r="F8" s="14">
        <f>+F19+F16</f>
        <v>36751</v>
      </c>
      <c r="G8" s="14">
        <f>+G19+G16</f>
        <v>292253</v>
      </c>
      <c r="H8" s="14">
        <f t="shared" ref="H8:V8" si="0">+H19+H16</f>
        <v>0</v>
      </c>
      <c r="I8" s="14">
        <f t="shared" si="0"/>
        <v>2813277</v>
      </c>
      <c r="J8" s="14">
        <f>+J19+J16</f>
        <v>296859</v>
      </c>
      <c r="K8" s="14">
        <f t="shared" si="0"/>
        <v>844573</v>
      </c>
      <c r="L8" s="14">
        <f t="shared" si="0"/>
        <v>0</v>
      </c>
      <c r="M8" s="14">
        <f t="shared" si="0"/>
        <v>0</v>
      </c>
      <c r="N8" s="14">
        <f t="shared" si="0"/>
        <v>208253</v>
      </c>
      <c r="O8" s="14">
        <f t="shared" si="0"/>
        <v>2206049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</row>
    <row r="9" spans="1:22" x14ac:dyDescent="0.25">
      <c r="A9" s="12">
        <v>2023</v>
      </c>
      <c r="B9" s="15" t="s">
        <v>27</v>
      </c>
      <c r="C9" s="16" t="s">
        <v>28</v>
      </c>
      <c r="D9" s="17">
        <f t="shared" ref="D9:D18" si="1">SUM(E9:V9)</f>
        <v>0</v>
      </c>
      <c r="E9" s="18">
        <f>SUMIFS('[1]Unos prihoda i primitaka'!$G$3:$G$501,'[1]Unos prihoda i primitaka'!$C$3:$C$501,"=11",'[1]Unos prihoda i primitaka'!$L$3:$L$501,"=61")</f>
        <v>0</v>
      </c>
      <c r="F9" s="18">
        <f>SUMIFS('[1]Unos prihoda i primitaka'!$G$3:$G$501,'[1]Unos prihoda i primitaka'!$C$3:$C$501,"=12",'[1]Unos prihoda i primitaka'!$L$3:$L$501,"=61")</f>
        <v>0</v>
      </c>
      <c r="G9" s="18">
        <f>SUMIFS('[1]Unos prihoda i primitaka'!$G$3:$G$501,'[1]Unos prihoda i primitaka'!$C$3:$C$501,"=31",'[1]Unos prihoda i primitaka'!$L$3:$L$501,"=61")</f>
        <v>0</v>
      </c>
      <c r="H9" s="18">
        <f>SUMIFS('[1]Unos prihoda i primitaka'!$G$3:$G$501,'[1]Unos prihoda i primitaka'!$C$3:$C$501,"=41",'[1]Unos prihoda i primitaka'!$L$3:$L$501,"=61")</f>
        <v>0</v>
      </c>
      <c r="I9" s="18">
        <f>SUMIFS('[1]Unos prihoda i primitaka'!$G$3:$G$501,'[1]Unos prihoda i primitaka'!$C$3:$C$501,"=43",'[1]Unos prihoda i primitaka'!$L$3:$L$501,"=61")</f>
        <v>0</v>
      </c>
      <c r="J9" s="18">
        <f>SUMIFS('[1]Unos prihoda i primitaka'!$G$3:$G$501,'[1]Unos prihoda i primitaka'!$C$3:$C$501,"=51",'[1]Unos prihoda i primitaka'!$L$3:$L$501,"=61")</f>
        <v>0</v>
      </c>
      <c r="K9" s="18">
        <f>SUMIFS('[1]Unos prihoda i primitaka'!$G$3:$G$501,'[1]Unos prihoda i primitaka'!$C$3:$C$501,"=52",'[1]Unos prihoda i primitaka'!$L$3:$L$501,"=61")</f>
        <v>0</v>
      </c>
      <c r="L9" s="18">
        <f>SUMIFS('[1]Unos prihoda i primitaka'!$G$3:$G$501,'[1]Unos prihoda i primitaka'!$C$3:$C$501,"=552",'[1]Unos prihoda i primitaka'!$L$3:$L$501,"=61")</f>
        <v>0</v>
      </c>
      <c r="M9" s="18">
        <f>SUMIFS('[1]Unos prihoda i primitaka'!$G$3:$G$501,'[1]Unos prihoda i primitaka'!$C$3:$C$501,"=559",'[1]Unos prihoda i primitaka'!$L$3:$L$501,"=61")</f>
        <v>0</v>
      </c>
      <c r="N9" s="18">
        <f>SUMIFS('[1]Unos prihoda i primitaka'!$G$3:$G$501,'[1]Unos prihoda i primitaka'!$C$3:$C$501,"=561",'[1]Unos prihoda i primitaka'!$L$3:$L$501,"=61")</f>
        <v>0</v>
      </c>
      <c r="O9" s="18">
        <f>SUMIFS('[1]Unos prihoda i primitaka'!$G$3:$G$501,'[1]Unos prihoda i primitaka'!$C$3:$C$501,"=563",'[1]Unos prihoda i primitaka'!$L$3:$L$501,"=61")</f>
        <v>0</v>
      </c>
      <c r="P9" s="18">
        <f>SUMIFS('[1]Unos prihoda i primitaka'!$G$3:$G$501,'[1]Unos prihoda i primitaka'!$C$3:$C$501,"=573",'[1]Unos prihoda i primitaka'!$L$3:$L$501,"=61")</f>
        <v>0</v>
      </c>
      <c r="Q9" s="18">
        <f>SUMIFS('[1]Unos prihoda i primitaka'!$G$3:$G$501,'[1]Unos prihoda i primitaka'!$C$3:$C$501,"=575",'[1]Unos prihoda i primitaka'!$L$3:$L$501,"=61")</f>
        <v>0</v>
      </c>
      <c r="R9" s="18">
        <f>SUMIFS('[1]Unos prihoda i primitaka'!$G$3:$G$501,'[1]Unos prihoda i primitaka'!$C$3:$C$501,"=576",'[1]Unos prihoda i primitaka'!$L$3:$L$501,"=61")</f>
        <v>0</v>
      </c>
      <c r="S9" s="18">
        <f>SUMIFS('[1]Unos prihoda i primitaka'!$G$3:$G$501,'[1]Unos prihoda i primitaka'!$C$3:$C$501,"=581",'[1]Unos prihoda i primitaka'!$L$3:$L$501,"=61")</f>
        <v>0</v>
      </c>
      <c r="T9" s="18">
        <f>SUMIFS('[1]Unos prihoda i primitaka'!$G$3:$G$501,'[1]Unos prihoda i primitaka'!$C$3:$C$501,"=61",'[1]Unos prihoda i primitaka'!$L$3:$L$501,"=61")</f>
        <v>0</v>
      </c>
      <c r="U9" s="18">
        <f>SUMIFS('[1]Unos prihoda i primitaka'!$G$3:$G$501,'[1]Unos prihoda i primitaka'!$C$3:$C$501,"=63",'[1]Unos prihoda i primitaka'!$L$3:$L$501,"=61")</f>
        <v>0</v>
      </c>
      <c r="V9" s="18">
        <f>SUMIFS('[1]Unos prihoda i primitaka'!$G$3:$G$501,'[1]Unos prihoda i primitaka'!$C$3:$C$501,"=71",'[1]Unos prihoda i primitaka'!$L$3:$L$501,"=61")</f>
        <v>0</v>
      </c>
    </row>
    <row r="10" spans="1:22" ht="25.5" x14ac:dyDescent="0.25">
      <c r="A10" s="12">
        <v>2023</v>
      </c>
      <c r="B10" s="15" t="s">
        <v>29</v>
      </c>
      <c r="C10" s="16" t="s">
        <v>30</v>
      </c>
      <c r="D10" s="17">
        <f t="shared" si="1"/>
        <v>3555734</v>
      </c>
      <c r="E10" s="18">
        <f>SUMIFS('[1]Unos prihoda i primitaka'!$G$3:$G$501,'[1]Unos prihoda i primitaka'!$C$3:$C$501,"=11",'[1]Unos prihoda i primitaka'!$L$3:$L$501,"=63")</f>
        <v>0</v>
      </c>
      <c r="F10" s="18">
        <f>SUMIFS('[1]Unos prihoda i primitaka'!$G$3:$G$501,'[1]Unos prihoda i primitaka'!$C$3:$C$501,"=12",'[1]Unos prihoda i primitaka'!$L$3:$L$501,"=63")</f>
        <v>0</v>
      </c>
      <c r="G10" s="18">
        <f>SUMIFS('[1]Unos prihoda i primitaka'!$G$3:$G$501,'[1]Unos prihoda i primitaka'!$C$3:$C$501,"=31",'[1]Unos prihoda i primitaka'!$L$3:$L$501,"=63")</f>
        <v>0</v>
      </c>
      <c r="H10" s="18">
        <f>SUMIFS('[1]Unos prihoda i primitaka'!$G$3:$G$501,'[1]Unos prihoda i primitaka'!$C$3:$C$501,"=41",'[1]Unos prihoda i primitaka'!$L$3:$L$501,"=63")</f>
        <v>0</v>
      </c>
      <c r="I10" s="18">
        <f>SUMIFS('[1]Unos prihoda i primitaka'!$G$3:$G$501,'[1]Unos prihoda i primitaka'!$C$3:$C$501,"=43",'[1]Unos prihoda i primitaka'!$L$3:$L$501,"=63")</f>
        <v>0</v>
      </c>
      <c r="J10" s="18">
        <f>SUMIFS('[1]Unos prihoda i primitaka'!$G$3:$G$501,'[1]Unos prihoda i primitaka'!$C$3:$C$501,"=51",'[1]Unos prihoda i primitaka'!$L$3:$L$501,"=63")</f>
        <v>296859</v>
      </c>
      <c r="K10" s="18">
        <f>SUMIFS('[1]Unos prihoda i primitaka'!$G$3:$G$501,'[1]Unos prihoda i primitaka'!$C$3:$C$501,"=52",'[1]Unos prihoda i primitaka'!$L$3:$L$501,"=63")</f>
        <v>844573</v>
      </c>
      <c r="L10" s="18">
        <f>SUMIFS('[1]Unos prihoda i primitaka'!$G$3:$G$501,'[1]Unos prihoda i primitaka'!$C$3:$C$501,"=552",'[1]Unos prihoda i primitaka'!$L$3:$L$501,"=63")</f>
        <v>0</v>
      </c>
      <c r="M10" s="18">
        <f>SUMIFS('[1]Unos prihoda i primitaka'!$G$3:$G$501,'[1]Unos prihoda i primitaka'!$C$3:$C$501,"=559",'[1]Unos prihoda i primitaka'!$L$3:$L$501,"=63")</f>
        <v>0</v>
      </c>
      <c r="N10" s="18">
        <f>SUMIFS('[1]Unos prihoda i primitaka'!$G$3:$G$501,'[1]Unos prihoda i primitaka'!$C$3:$C$501,"=561",'[1]Unos prihoda i primitaka'!$L$3:$L$501,"=63")</f>
        <v>208253</v>
      </c>
      <c r="O10" s="18">
        <f>SUMIFS('[1]Unos prihoda i primitaka'!$G$3:$G$501,'[1]Unos prihoda i primitaka'!$C$3:$C$501,"=563",'[1]Unos prihoda i primitaka'!$L$3:$L$501,"=63")</f>
        <v>2206049</v>
      </c>
      <c r="P10" s="18">
        <f>SUMIFS('[1]Unos prihoda i primitaka'!$G$3:$G$501,'[1]Unos prihoda i primitaka'!$C$3:$C$501,"=573",'[1]Unos prihoda i primitaka'!$L$3:$L$501,"=63")</f>
        <v>0</v>
      </c>
      <c r="Q10" s="18">
        <f>SUMIFS('[1]Unos prihoda i primitaka'!$G$3:$G$501,'[1]Unos prihoda i primitaka'!$C$3:$C$501,"=575",'[1]Unos prihoda i primitaka'!$L$3:$L$501,"=63")</f>
        <v>0</v>
      </c>
      <c r="R10" s="18">
        <f>SUMIFS('[1]Unos prihoda i primitaka'!$G$3:$G$501,'[1]Unos prihoda i primitaka'!$C$3:$C$501,"=576",'[1]Unos prihoda i primitaka'!$L$3:$L$501,"=63")</f>
        <v>0</v>
      </c>
      <c r="S10" s="18">
        <f>SUMIFS('[1]Unos prihoda i primitaka'!$G$3:$G$501,'[1]Unos prihoda i primitaka'!$C$3:$C$501,"=581",'[1]Unos prihoda i primitaka'!$L$3:$L$501,"=63")</f>
        <v>0</v>
      </c>
      <c r="T10" s="18">
        <f>SUMIFS('[1]Unos prihoda i primitaka'!$G$3:$G$501,'[1]Unos prihoda i primitaka'!$C$3:$C$501,"=61",'[1]Unos prihoda i primitaka'!$L$3:$L$501,"=63")</f>
        <v>0</v>
      </c>
      <c r="U10" s="18">
        <f>SUMIFS('[1]Unos prihoda i primitaka'!$G$3:$G$501,'[1]Unos prihoda i primitaka'!$C$3:$C$501,"=63",'[1]Unos prihoda i primitaka'!$L$3:$L$501,"=63")</f>
        <v>0</v>
      </c>
      <c r="V10" s="18">
        <f>SUMIFS('[1]Unos prihoda i primitaka'!$G$3:$G$501,'[1]Unos prihoda i primitaka'!$C$3:$C$501,"=71",'[1]Unos prihoda i primitaka'!$L$3:$L$501,"=63")</f>
        <v>0</v>
      </c>
    </row>
    <row r="11" spans="1:22" x14ac:dyDescent="0.25">
      <c r="A11" s="12">
        <v>2023</v>
      </c>
      <c r="B11" s="19" t="s">
        <v>31</v>
      </c>
      <c r="C11" s="20" t="s">
        <v>32</v>
      </c>
      <c r="D11" s="17">
        <f t="shared" si="1"/>
        <v>0</v>
      </c>
      <c r="E11" s="18">
        <f>SUMIFS('[1]Unos prihoda i primitaka'!$G$3:$G$501,'[1]Unos prihoda i primitaka'!$C$3:$C$501,"=11",'[1]Unos prihoda i primitaka'!$L$3:$L$501,"=64")</f>
        <v>0</v>
      </c>
      <c r="F11" s="18">
        <f>SUMIFS('[1]Unos prihoda i primitaka'!$G$3:$G$501,'[1]Unos prihoda i primitaka'!$C$3:$C$501,"=12",'[1]Unos prihoda i primitaka'!$L$3:$L$501,"=64")</f>
        <v>0</v>
      </c>
      <c r="G11" s="18">
        <f>SUMIFS('[1]Unos prihoda i primitaka'!$G$3:$G$501,'[1]Unos prihoda i primitaka'!$C$3:$C$501,"=31",'[1]Unos prihoda i primitaka'!$L$3:$L$501,"=64")</f>
        <v>0</v>
      </c>
      <c r="H11" s="18">
        <f>SUMIFS('[1]Unos prihoda i primitaka'!$G$3:$G$501,'[1]Unos prihoda i primitaka'!$C$3:$C$501,"=41",'[1]Unos prihoda i primitaka'!$L$3:$L$501,"=64")</f>
        <v>0</v>
      </c>
      <c r="I11" s="18">
        <f>SUMIFS('[1]Unos prihoda i primitaka'!$G$3:$G$501,'[1]Unos prihoda i primitaka'!$C$3:$C$501,"=43",'[1]Unos prihoda i primitaka'!$L$3:$L$501,"=64")</f>
        <v>0</v>
      </c>
      <c r="J11" s="18">
        <f>SUMIFS('[1]Unos prihoda i primitaka'!$G$3:$G$501,'[1]Unos prihoda i primitaka'!$C$3:$C$501,"=51",'[1]Unos prihoda i primitaka'!$L$3:$L$501,"=64")</f>
        <v>0</v>
      </c>
      <c r="K11" s="18">
        <f>SUMIFS('[1]Unos prihoda i primitaka'!$G$3:$G$501,'[1]Unos prihoda i primitaka'!$C$3:$C$501,"=52",'[1]Unos prihoda i primitaka'!$L$3:$L$501,"=64")</f>
        <v>0</v>
      </c>
      <c r="L11" s="18">
        <f>SUMIFS('[1]Unos prihoda i primitaka'!$G$3:$G$501,'[1]Unos prihoda i primitaka'!$C$3:$C$501,"=552",'[1]Unos prihoda i primitaka'!$L$3:$L$501,"=64")</f>
        <v>0</v>
      </c>
      <c r="M11" s="18">
        <f>SUMIFS('[1]Unos prihoda i primitaka'!$G$3:$G$501,'[1]Unos prihoda i primitaka'!$C$3:$C$501,"=559",'[1]Unos prihoda i primitaka'!$L$3:$L$501,"=64")</f>
        <v>0</v>
      </c>
      <c r="N11" s="18">
        <f>SUMIFS('[1]Unos prihoda i primitaka'!$G$3:$G$501,'[1]Unos prihoda i primitaka'!$C$3:$C$501,"=561",'[1]Unos prihoda i primitaka'!$L$3:$L$501,"=64")</f>
        <v>0</v>
      </c>
      <c r="O11" s="18">
        <f>SUMIFS('[1]Unos prihoda i primitaka'!$G$3:$G$501,'[1]Unos prihoda i primitaka'!$C$3:$C$501,"=563",'[1]Unos prihoda i primitaka'!$L$3:$L$501,"=64")</f>
        <v>0</v>
      </c>
      <c r="P11" s="18">
        <f>SUMIFS('[1]Unos prihoda i primitaka'!$G$3:$G$501,'[1]Unos prihoda i primitaka'!$C$3:$C$501,"=573",'[1]Unos prihoda i primitaka'!$L$3:$L$501,"=64")</f>
        <v>0</v>
      </c>
      <c r="Q11" s="18">
        <f>SUMIFS('[1]Unos prihoda i primitaka'!$G$3:$G$501,'[1]Unos prihoda i primitaka'!$C$3:$C$501,"=575",'[1]Unos prihoda i primitaka'!$L$3:$L$501,"=64")</f>
        <v>0</v>
      </c>
      <c r="R11" s="18">
        <f>SUMIFS('[1]Unos prihoda i primitaka'!$G$3:$G$501,'[1]Unos prihoda i primitaka'!$C$3:$C$501,"=576",'[1]Unos prihoda i primitaka'!$L$3:$L$501,"=64")</f>
        <v>0</v>
      </c>
      <c r="S11" s="18">
        <f>SUMIFS('[1]Unos prihoda i primitaka'!$G$3:$G$501,'[1]Unos prihoda i primitaka'!$C$3:$C$501,"=581",'[1]Unos prihoda i primitaka'!$L$3:$L$501,"=64")</f>
        <v>0</v>
      </c>
      <c r="T11" s="18">
        <f>SUMIFS('[1]Unos prihoda i primitaka'!$G$3:$G$501,'[1]Unos prihoda i primitaka'!$C$3:$C$501,"=61",'[1]Unos prihoda i primitaka'!$L$3:$L$501,"=64")</f>
        <v>0</v>
      </c>
      <c r="U11" s="18">
        <f>SUMIFS('[1]Unos prihoda i primitaka'!$G$3:$G$501,'[1]Unos prihoda i primitaka'!$C$3:$C$501,"=63",'[1]Unos prihoda i primitaka'!$L$3:$L$501,"=64")</f>
        <v>0</v>
      </c>
      <c r="V11" s="18">
        <f>SUMIFS('[1]Unos prihoda i primitaka'!$G$3:$G$501,'[1]Unos prihoda i primitaka'!$C$3:$C$501,"=71",'[1]Unos prihoda i primitaka'!$L$3:$L$501,"=64")</f>
        <v>0</v>
      </c>
    </row>
    <row r="12" spans="1:22" ht="25.5" x14ac:dyDescent="0.25">
      <c r="A12" s="12">
        <v>2023</v>
      </c>
      <c r="B12" s="19" t="s">
        <v>33</v>
      </c>
      <c r="C12" s="20" t="s">
        <v>34</v>
      </c>
      <c r="D12" s="17">
        <f t="shared" si="1"/>
        <v>2813277</v>
      </c>
      <c r="E12" s="18">
        <f>SUMIFS('[1]Unos prihoda i primitaka'!$G$3:$G$501,'[1]Unos prihoda i primitaka'!$C$3:$C$501,"=11",'[1]Unos prihoda i primitaka'!$L$3:$L$501,"=65")</f>
        <v>0</v>
      </c>
      <c r="F12" s="18">
        <f>SUMIFS('[1]Unos prihoda i primitaka'!$G$3:$G$501,'[1]Unos prihoda i primitaka'!$C$3:$C$501,"=12",'[1]Unos prihoda i primitaka'!$L$3:$L$501,"=65")</f>
        <v>0</v>
      </c>
      <c r="G12" s="18">
        <f>SUMIFS('[1]Unos prihoda i primitaka'!$G$3:$G$501,'[1]Unos prihoda i primitaka'!$C$3:$C$501,"=31",'[1]Unos prihoda i primitaka'!$L$3:$L$501,"=65")</f>
        <v>0</v>
      </c>
      <c r="H12" s="18">
        <f>SUMIFS('[1]Unos prihoda i primitaka'!$G$3:$G$501,'[1]Unos prihoda i primitaka'!$C$3:$C$501,"=41",'[1]Unos prihoda i primitaka'!$L$3:$L$501,"=65")</f>
        <v>0</v>
      </c>
      <c r="I12" s="18">
        <f>SUMIFS('[1]Unos prihoda i primitaka'!$G$3:$G$501,'[1]Unos prihoda i primitaka'!$C$3:$C$501,"=43",'[1]Unos prihoda i primitaka'!$L$3:$L$501,"=65")</f>
        <v>2813277</v>
      </c>
      <c r="J12" s="18">
        <f>SUMIFS('[1]Unos prihoda i primitaka'!$G$3:$G$501,'[1]Unos prihoda i primitaka'!$C$3:$C$501,"=51",'[1]Unos prihoda i primitaka'!$L$3:$L$501,"=65")</f>
        <v>0</v>
      </c>
      <c r="K12" s="18">
        <f>SUMIFS('[1]Unos prihoda i primitaka'!$G$3:$G$501,'[1]Unos prihoda i primitaka'!$C$3:$C$501,"=52",'[1]Unos prihoda i primitaka'!$L$3:$L$501,"=65")</f>
        <v>0</v>
      </c>
      <c r="L12" s="18">
        <f>SUMIFS('[1]Unos prihoda i primitaka'!$G$3:$G$501,'[1]Unos prihoda i primitaka'!$C$3:$C$501,"=552",'[1]Unos prihoda i primitaka'!$L$3:$L$501,"=65")</f>
        <v>0</v>
      </c>
      <c r="M12" s="18">
        <f>SUMIFS('[1]Unos prihoda i primitaka'!$G$3:$G$501,'[1]Unos prihoda i primitaka'!$C$3:$C$501,"=559",'[1]Unos prihoda i primitaka'!$L$3:$L$501,"=65")</f>
        <v>0</v>
      </c>
      <c r="N12" s="18">
        <f>SUMIFS('[1]Unos prihoda i primitaka'!$G$3:$G$501,'[1]Unos prihoda i primitaka'!$C$3:$C$501,"=561",'[1]Unos prihoda i primitaka'!$L$3:$L$501,"=65")</f>
        <v>0</v>
      </c>
      <c r="O12" s="18">
        <f>SUMIFS('[1]Unos prihoda i primitaka'!$G$3:$G$501,'[1]Unos prihoda i primitaka'!$C$3:$C$501,"=563",'[1]Unos prihoda i primitaka'!$L$3:$L$501,"=65")</f>
        <v>0</v>
      </c>
      <c r="P12" s="18">
        <f>SUMIFS('[1]Unos prihoda i primitaka'!$G$3:$G$501,'[1]Unos prihoda i primitaka'!$C$3:$C$501,"=573",'[1]Unos prihoda i primitaka'!$L$3:$L$501,"=65")</f>
        <v>0</v>
      </c>
      <c r="Q12" s="18">
        <f>SUMIFS('[1]Unos prihoda i primitaka'!$G$3:$G$501,'[1]Unos prihoda i primitaka'!$C$3:$C$501,"=575",'[1]Unos prihoda i primitaka'!$L$3:$L$501,"=65")</f>
        <v>0</v>
      </c>
      <c r="R12" s="18">
        <f>SUMIFS('[1]Unos prihoda i primitaka'!$G$3:$G$501,'[1]Unos prihoda i primitaka'!$C$3:$C$501,"=576",'[1]Unos prihoda i primitaka'!$L$3:$L$501,"=65")</f>
        <v>0</v>
      </c>
      <c r="S12" s="18">
        <f>SUMIFS('[1]Unos prihoda i primitaka'!$G$3:$G$501,'[1]Unos prihoda i primitaka'!$C$3:$C$501,"=581",'[1]Unos prihoda i primitaka'!$L$3:$L$501,"=65")</f>
        <v>0</v>
      </c>
      <c r="T12" s="18">
        <f>SUMIFS('[1]Unos prihoda i primitaka'!$G$3:$G$501,'[1]Unos prihoda i primitaka'!$C$3:$C$501,"=61",'[1]Unos prihoda i primitaka'!$L$3:$L$501,"=65")</f>
        <v>0</v>
      </c>
      <c r="U12" s="18">
        <f>SUMIFS('[1]Unos prihoda i primitaka'!$G$3:$G$501,'[1]Unos prihoda i primitaka'!$C$3:$C$501,"=63",'[1]Unos prihoda i primitaka'!$L$3:$L$501,"=65")</f>
        <v>0</v>
      </c>
      <c r="V12" s="18">
        <f>SUMIFS('[1]Unos prihoda i primitaka'!$G$3:$G$501,'[1]Unos prihoda i primitaka'!$C$3:$C$501,"=71",'[1]Unos prihoda i primitaka'!$L$3:$L$501,"=65")</f>
        <v>0</v>
      </c>
    </row>
    <row r="13" spans="1:22" ht="25.5" x14ac:dyDescent="0.25">
      <c r="A13" s="12">
        <v>2023</v>
      </c>
      <c r="B13" s="21" t="s">
        <v>35</v>
      </c>
      <c r="C13" s="20" t="s">
        <v>36</v>
      </c>
      <c r="D13" s="17">
        <f t="shared" si="1"/>
        <v>292253</v>
      </c>
      <c r="E13" s="18">
        <f>SUMIFS('[1]Unos prihoda i primitaka'!$G$3:$G$501,'[1]Unos prihoda i primitaka'!$C$3:$C$501,"=11",'[1]Unos prihoda i primitaka'!$L$3:$L$501,"=66")</f>
        <v>0</v>
      </c>
      <c r="F13" s="18">
        <f>SUMIFS('[1]Unos prihoda i primitaka'!$G$3:$G$501,'[1]Unos prihoda i primitaka'!$C$3:$C$501,"=12",'[1]Unos prihoda i primitaka'!$L$3:$L$501,"=66")</f>
        <v>0</v>
      </c>
      <c r="G13" s="18">
        <f>SUMIFS('[1]Unos prihoda i primitaka'!$G$3:$G$501,'[1]Unos prihoda i primitaka'!$C$3:$C$501,"=31",'[1]Unos prihoda i primitaka'!$L$3:$L$501,"=66")</f>
        <v>292253</v>
      </c>
      <c r="H13" s="18">
        <f>SUMIFS('[1]Unos prihoda i primitaka'!$G$3:$G$501,'[1]Unos prihoda i primitaka'!$C$3:$C$501,"=41",'[1]Unos prihoda i primitaka'!$L$3:$L$501,"=66")</f>
        <v>0</v>
      </c>
      <c r="I13" s="18">
        <f>SUMIFS('[1]Unos prihoda i primitaka'!$G$3:$G$501,'[1]Unos prihoda i primitaka'!$C$3:$C$501,"=43",'[1]Unos prihoda i primitaka'!$L$3:$L$501,"=66")</f>
        <v>0</v>
      </c>
      <c r="J13" s="18">
        <f>SUMIFS('[1]Unos prihoda i primitaka'!$G$3:$G$501,'[1]Unos prihoda i primitaka'!$C$3:$C$501,"=51",'[1]Unos prihoda i primitaka'!$L$3:$L$501,"=66")</f>
        <v>0</v>
      </c>
      <c r="K13" s="18">
        <f>SUMIFS('[1]Unos prihoda i primitaka'!$G$3:$G$501,'[1]Unos prihoda i primitaka'!$C$3:$C$501,"=52",'[1]Unos prihoda i primitaka'!$L$3:$L$501,"=66")</f>
        <v>0</v>
      </c>
      <c r="L13" s="18">
        <f>SUMIFS('[1]Unos prihoda i primitaka'!$G$3:$G$501,'[1]Unos prihoda i primitaka'!$C$3:$C$501,"=552",'[1]Unos prihoda i primitaka'!$L$3:$L$501,"=66")</f>
        <v>0</v>
      </c>
      <c r="M13" s="18">
        <f>SUMIFS('[1]Unos prihoda i primitaka'!$G$3:$G$501,'[1]Unos prihoda i primitaka'!$C$3:$C$501,"=559",'[1]Unos prihoda i primitaka'!$L$3:$L$501,"=66")</f>
        <v>0</v>
      </c>
      <c r="N13" s="18">
        <f>SUMIFS('[1]Unos prihoda i primitaka'!$G$3:$G$501,'[1]Unos prihoda i primitaka'!$C$3:$C$501,"=561",'[1]Unos prihoda i primitaka'!$L$3:$L$501,"=66")</f>
        <v>0</v>
      </c>
      <c r="O13" s="18">
        <f>SUMIFS('[1]Unos prihoda i primitaka'!$G$3:$G$501,'[1]Unos prihoda i primitaka'!$C$3:$C$501,"=563",'[1]Unos prihoda i primitaka'!$L$3:$L$501,"=66")</f>
        <v>0</v>
      </c>
      <c r="P13" s="18">
        <f>SUMIFS('[1]Unos prihoda i primitaka'!$G$3:$G$501,'[1]Unos prihoda i primitaka'!$C$3:$C$501,"=573",'[1]Unos prihoda i primitaka'!$L$3:$L$501,"=66")</f>
        <v>0</v>
      </c>
      <c r="Q13" s="18">
        <f>SUMIFS('[1]Unos prihoda i primitaka'!$G$3:$G$501,'[1]Unos prihoda i primitaka'!$C$3:$C$501,"=575",'[1]Unos prihoda i primitaka'!$L$3:$L$501,"=66")</f>
        <v>0</v>
      </c>
      <c r="R13" s="18">
        <f>SUMIFS('[1]Unos prihoda i primitaka'!$G$3:$G$501,'[1]Unos prihoda i primitaka'!$C$3:$C$501,"=576",'[1]Unos prihoda i primitaka'!$L$3:$L$501,"=66")</f>
        <v>0</v>
      </c>
      <c r="S13" s="18">
        <f>SUMIFS('[1]Unos prihoda i primitaka'!$G$3:$G$501,'[1]Unos prihoda i primitaka'!$C$3:$C$501,"=581",'[1]Unos prihoda i primitaka'!$L$3:$L$501,"=66")</f>
        <v>0</v>
      </c>
      <c r="T13" s="18">
        <f>SUMIFS('[1]Unos prihoda i primitaka'!$G$3:$G$501,'[1]Unos prihoda i primitaka'!$C$3:$C$501,"=61",'[1]Unos prihoda i primitaka'!$L$3:$L$501,"=66")</f>
        <v>0</v>
      </c>
      <c r="U13" s="18">
        <f>SUMIFS('[1]Unos prihoda i primitaka'!$G$3:$G$501,'[1]Unos prihoda i primitaka'!$C$3:$C$501,"=63",'[1]Unos prihoda i primitaka'!$L$3:$L$501,"=66")</f>
        <v>0</v>
      </c>
      <c r="V13" s="18">
        <f>SUMIFS('[1]Unos prihoda i primitaka'!$G$3:$G$501,'[1]Unos prihoda i primitaka'!$C$3:$C$501,"=71",'[1]Unos prihoda i primitaka'!$L$3:$L$501,"=66")</f>
        <v>0</v>
      </c>
    </row>
    <row r="14" spans="1:22" x14ac:dyDescent="0.25">
      <c r="A14" s="12">
        <v>2023</v>
      </c>
      <c r="B14" s="19" t="s">
        <v>37</v>
      </c>
      <c r="C14" s="20" t="s">
        <v>38</v>
      </c>
      <c r="D14" s="17">
        <f t="shared" si="1"/>
        <v>8216499</v>
      </c>
      <c r="E14" s="18">
        <f>SUMIFS('[1]Unos prihoda i primitaka'!$G$3:$G$501,'[1]Unos prihoda i primitaka'!$C$3:$C$501,"=11",'[1]Unos prihoda i primitaka'!$L$3:$L$501,"=67")</f>
        <v>8179748</v>
      </c>
      <c r="F14" s="18">
        <f>SUMIFS('[1]Unos prihoda i primitaka'!$G$3:$G$501,'[1]Unos prihoda i primitaka'!$C$3:$C$501,"=12",'[1]Unos prihoda i primitaka'!$L$3:$L$501,"=67")</f>
        <v>36751</v>
      </c>
      <c r="G14" s="18">
        <f>SUMIFS('[1]Unos prihoda i primitaka'!$G$3:$G$501,'[1]Unos prihoda i primitaka'!$C$3:$C$501,"=31",'[1]Unos prihoda i primitaka'!$L$3:$L$501,"=67")</f>
        <v>0</v>
      </c>
      <c r="H14" s="18">
        <f>SUMIFS('[1]Unos prihoda i primitaka'!$G$3:$G$501,'[1]Unos prihoda i primitaka'!$C$3:$C$501,"=41",'[1]Unos prihoda i primitaka'!$L$3:$L$501,"=67")</f>
        <v>0</v>
      </c>
      <c r="I14" s="18">
        <f>SUMIFS('[1]Unos prihoda i primitaka'!$G$3:$G$501,'[1]Unos prihoda i primitaka'!$C$3:$C$501,"=43",'[1]Unos prihoda i primitaka'!$L$3:$L$501,"=67")</f>
        <v>0</v>
      </c>
      <c r="J14" s="18">
        <f>SUMIFS('[1]Unos prihoda i primitaka'!$G$3:$G$501,'[1]Unos prihoda i primitaka'!$C$3:$C$501,"=51",'[1]Unos prihoda i primitaka'!$L$3:$L$501,"=67")</f>
        <v>0</v>
      </c>
      <c r="K14" s="18">
        <f>SUMIFS('[1]Unos prihoda i primitaka'!$G$3:$G$501,'[1]Unos prihoda i primitaka'!$C$3:$C$501,"=52",'[1]Unos prihoda i primitaka'!$L$3:$L$501,"=67")</f>
        <v>0</v>
      </c>
      <c r="L14" s="18">
        <f>SUMIFS('[1]Unos prihoda i primitaka'!$G$3:$G$501,'[1]Unos prihoda i primitaka'!$C$3:$C$501,"=552",'[1]Unos prihoda i primitaka'!$L$3:$L$501,"=67")</f>
        <v>0</v>
      </c>
      <c r="M14" s="18">
        <f>SUMIFS('[1]Unos prihoda i primitaka'!$G$3:$G$501,'[1]Unos prihoda i primitaka'!$C$3:$C$501,"=559",'[1]Unos prihoda i primitaka'!$L$3:$L$501,"=67")</f>
        <v>0</v>
      </c>
      <c r="N14" s="18">
        <f>SUMIFS('[1]Unos prihoda i primitaka'!$G$3:$G$501,'[1]Unos prihoda i primitaka'!$C$3:$C$501,"=561",'[1]Unos prihoda i primitaka'!$L$3:$L$501,"=67")</f>
        <v>0</v>
      </c>
      <c r="O14" s="18">
        <f>SUMIFS('[1]Unos prihoda i primitaka'!$G$3:$G$501,'[1]Unos prihoda i primitaka'!$C$3:$C$501,"=563",'[1]Unos prihoda i primitaka'!$L$3:$L$501,"=67")</f>
        <v>0</v>
      </c>
      <c r="P14" s="18">
        <f>SUMIFS('[1]Unos prihoda i primitaka'!$G$3:$G$501,'[1]Unos prihoda i primitaka'!$C$3:$C$501,"=573",'[1]Unos prihoda i primitaka'!$L$3:$L$501,"=67")</f>
        <v>0</v>
      </c>
      <c r="Q14" s="18">
        <f>SUMIFS('[1]Unos prihoda i primitaka'!$G$3:$G$501,'[1]Unos prihoda i primitaka'!$C$3:$C$501,"=575",'[1]Unos prihoda i primitaka'!$L$3:$L$501,"=67")</f>
        <v>0</v>
      </c>
      <c r="R14" s="18">
        <f>SUMIFS('[1]Unos prihoda i primitaka'!$G$3:$G$501,'[1]Unos prihoda i primitaka'!$C$3:$C$501,"=576",'[1]Unos prihoda i primitaka'!$L$3:$L$501,"=67")</f>
        <v>0</v>
      </c>
      <c r="S14" s="18">
        <f>SUMIFS('[1]Unos prihoda i primitaka'!$G$3:$G$501,'[1]Unos prihoda i primitaka'!$C$3:$C$501,"=581",'[1]Unos prihoda i primitaka'!$L$3:$L$501,"=67")</f>
        <v>0</v>
      </c>
      <c r="T14" s="18">
        <f>SUMIFS('[1]Unos prihoda i primitaka'!$G$3:$G$501,'[1]Unos prihoda i primitaka'!$C$3:$C$501,"=61",'[1]Unos prihoda i primitaka'!$L$3:$L$501,"=67")</f>
        <v>0</v>
      </c>
      <c r="U14" s="18">
        <f>SUMIFS('[1]Unos prihoda i primitaka'!$G$3:$G$501,'[1]Unos prihoda i primitaka'!$C$3:$C$501,"=63",'[1]Unos prihoda i primitaka'!$L$3:$L$501,"=67")</f>
        <v>0</v>
      </c>
      <c r="V14" s="18">
        <f>SUMIFS('[1]Unos prihoda i primitaka'!$G$3:$G$501,'[1]Unos prihoda i primitaka'!$C$3:$C$501,"=71",'[1]Unos prihoda i primitaka'!$L$3:$L$501,"=67")</f>
        <v>0</v>
      </c>
    </row>
    <row r="15" spans="1:22" x14ac:dyDescent="0.25">
      <c r="A15" s="12">
        <v>2023</v>
      </c>
      <c r="B15" s="19" t="s">
        <v>39</v>
      </c>
      <c r="C15" s="20" t="s">
        <v>40</v>
      </c>
      <c r="D15" s="17">
        <f t="shared" si="1"/>
        <v>0</v>
      </c>
      <c r="E15" s="18">
        <f>SUMIFS('[1]Unos prihoda i primitaka'!$G$3:$G$501,'[1]Unos prihoda i primitaka'!$C$3:$C$501,"=11",'[1]Unos prihoda i primitaka'!$L$3:$L$501,"=68")</f>
        <v>0</v>
      </c>
      <c r="F15" s="18">
        <f>SUMIFS('[1]Unos prihoda i primitaka'!$G$3:$G$501,'[1]Unos prihoda i primitaka'!$C$3:$C$501,"=12",'[1]Unos prihoda i primitaka'!$L$3:$L$501,"=68")</f>
        <v>0</v>
      </c>
      <c r="G15" s="18">
        <f>SUMIFS('[1]Unos prihoda i primitaka'!$G$3:$G$501,'[1]Unos prihoda i primitaka'!$C$3:$C$501,"=31",'[1]Unos prihoda i primitaka'!$L$3:$L$501,"=68")</f>
        <v>0</v>
      </c>
      <c r="H15" s="18">
        <f>SUMIFS('[1]Unos prihoda i primitaka'!$G$3:$G$501,'[1]Unos prihoda i primitaka'!$C$3:$C$501,"=41",'[1]Unos prihoda i primitaka'!$L$3:$L$501,"=68")</f>
        <v>0</v>
      </c>
      <c r="I15" s="18">
        <f>SUMIFS('[1]Unos prihoda i primitaka'!$G$3:$G$501,'[1]Unos prihoda i primitaka'!$C$3:$C$501,"=43",'[1]Unos prihoda i primitaka'!$L$3:$L$501,"=68")</f>
        <v>0</v>
      </c>
      <c r="J15" s="18">
        <f>SUMIFS('[1]Unos prihoda i primitaka'!$G$3:$G$501,'[1]Unos prihoda i primitaka'!$C$3:$C$501,"=51",'[1]Unos prihoda i primitaka'!$L$3:$L$501,"=68")</f>
        <v>0</v>
      </c>
      <c r="K15" s="18">
        <f>SUMIFS('[1]Unos prihoda i primitaka'!$G$3:$G$501,'[1]Unos prihoda i primitaka'!$C$3:$C$501,"=52",'[1]Unos prihoda i primitaka'!$L$3:$L$501,"=68")</f>
        <v>0</v>
      </c>
      <c r="L15" s="18">
        <f>SUMIFS('[1]Unos prihoda i primitaka'!$G$3:$G$501,'[1]Unos prihoda i primitaka'!$C$3:$C$501,"=552",'[1]Unos prihoda i primitaka'!$L$3:$L$501,"=68")</f>
        <v>0</v>
      </c>
      <c r="M15" s="18">
        <f>SUMIFS('[1]Unos prihoda i primitaka'!$G$3:$G$501,'[1]Unos prihoda i primitaka'!$C$3:$C$501,"=559",'[1]Unos prihoda i primitaka'!$L$3:$L$501,"=68")</f>
        <v>0</v>
      </c>
      <c r="N15" s="18">
        <f>SUMIFS('[1]Unos prihoda i primitaka'!$G$3:$G$501,'[1]Unos prihoda i primitaka'!$C$3:$C$501,"=561",'[1]Unos prihoda i primitaka'!$L$3:$L$501,"=68")</f>
        <v>0</v>
      </c>
      <c r="O15" s="18">
        <f>SUMIFS('[1]Unos prihoda i primitaka'!$G$3:$G$501,'[1]Unos prihoda i primitaka'!$C$3:$C$501,"=563",'[1]Unos prihoda i primitaka'!$L$3:$L$501,"=68")</f>
        <v>0</v>
      </c>
      <c r="P15" s="18">
        <f>SUMIFS('[1]Unos prihoda i primitaka'!$G$3:$G$501,'[1]Unos prihoda i primitaka'!$C$3:$C$501,"=573",'[1]Unos prihoda i primitaka'!$L$3:$L$501,"=68")</f>
        <v>0</v>
      </c>
      <c r="Q15" s="18">
        <f>SUMIFS('[1]Unos prihoda i primitaka'!$G$3:$G$501,'[1]Unos prihoda i primitaka'!$C$3:$C$501,"=575",'[1]Unos prihoda i primitaka'!$L$3:$L$501,"=68")</f>
        <v>0</v>
      </c>
      <c r="R15" s="18">
        <f>SUMIFS('[1]Unos prihoda i primitaka'!$G$3:$G$501,'[1]Unos prihoda i primitaka'!$C$3:$C$501,"=576",'[1]Unos prihoda i primitaka'!$L$3:$L$501,"=68")</f>
        <v>0</v>
      </c>
      <c r="S15" s="18">
        <f>SUMIFS('[1]Unos prihoda i primitaka'!$G$3:$G$501,'[1]Unos prihoda i primitaka'!$C$3:$C$501,"=581",'[1]Unos prihoda i primitaka'!$L$3:$L$501,"=68")</f>
        <v>0</v>
      </c>
      <c r="T15" s="18">
        <f>SUMIFS('[1]Unos prihoda i primitaka'!$G$3:$G$501,'[1]Unos prihoda i primitaka'!$C$3:$C$501,"=61",'[1]Unos prihoda i primitaka'!$L$3:$L$501,"=68")</f>
        <v>0</v>
      </c>
      <c r="U15" s="18">
        <f>SUMIFS('[1]Unos prihoda i primitaka'!$G$3:$G$501,'[1]Unos prihoda i primitaka'!$C$3:$C$501,"=63",'[1]Unos prihoda i primitaka'!$L$3:$L$501,"=68")</f>
        <v>0</v>
      </c>
      <c r="V15" s="18">
        <f>SUMIFS('[1]Unos prihoda i primitaka'!$G$3:$G$501,'[1]Unos prihoda i primitaka'!$C$3:$C$501,"=71",'[1]Unos prihoda i primitaka'!$L$3:$L$501,"=68")</f>
        <v>0</v>
      </c>
    </row>
    <row r="16" spans="1:22" x14ac:dyDescent="0.25">
      <c r="A16" s="12">
        <v>2023</v>
      </c>
      <c r="B16" s="22" t="s">
        <v>41</v>
      </c>
      <c r="C16" s="23" t="s">
        <v>42</v>
      </c>
      <c r="D16" s="17">
        <f>SUM(E16:V16)</f>
        <v>14877763</v>
      </c>
      <c r="E16" s="24">
        <f t="shared" ref="E16:V16" si="2">SUM(E9:E15)</f>
        <v>8179748</v>
      </c>
      <c r="F16" s="24">
        <f t="shared" si="2"/>
        <v>36751</v>
      </c>
      <c r="G16" s="24">
        <f t="shared" si="2"/>
        <v>292253</v>
      </c>
      <c r="H16" s="24">
        <f t="shared" si="2"/>
        <v>0</v>
      </c>
      <c r="I16" s="24">
        <f t="shared" si="2"/>
        <v>2813277</v>
      </c>
      <c r="J16" s="24">
        <f t="shared" si="2"/>
        <v>296859</v>
      </c>
      <c r="K16" s="24">
        <f t="shared" si="2"/>
        <v>844573</v>
      </c>
      <c r="L16" s="24">
        <f t="shared" si="2"/>
        <v>0</v>
      </c>
      <c r="M16" s="24">
        <f t="shared" si="2"/>
        <v>0</v>
      </c>
      <c r="N16" s="24">
        <f t="shared" si="2"/>
        <v>208253</v>
      </c>
      <c r="O16" s="24">
        <f t="shared" si="2"/>
        <v>2206049</v>
      </c>
      <c r="P16" s="24">
        <f t="shared" si="2"/>
        <v>0</v>
      </c>
      <c r="Q16" s="24">
        <f t="shared" si="2"/>
        <v>0</v>
      </c>
      <c r="R16" s="24">
        <f t="shared" si="2"/>
        <v>0</v>
      </c>
      <c r="S16" s="24">
        <f t="shared" si="2"/>
        <v>0</v>
      </c>
      <c r="T16" s="24">
        <f t="shared" si="2"/>
        <v>0</v>
      </c>
      <c r="U16" s="24">
        <f t="shared" si="2"/>
        <v>0</v>
      </c>
      <c r="V16" s="24">
        <f t="shared" si="2"/>
        <v>0</v>
      </c>
    </row>
    <row r="17" spans="1:22" x14ac:dyDescent="0.25">
      <c r="A17" s="12">
        <v>2023</v>
      </c>
      <c r="B17" s="19" t="s">
        <v>43</v>
      </c>
      <c r="C17" s="25" t="s">
        <v>44</v>
      </c>
      <c r="D17" s="17">
        <f t="shared" si="1"/>
        <v>0</v>
      </c>
      <c r="E17" s="18">
        <f>SUMIFS('[1]Unos prihoda i primitaka'!$G$3:$G$501,'[1]Unos prihoda i primitaka'!$C$3:$C$501,"=11",'[1]Unos prihoda i primitaka'!$L$3:$L$501,"=71")</f>
        <v>0</v>
      </c>
      <c r="F17" s="18">
        <f>SUMIFS('[1]Unos prihoda i primitaka'!$G$3:$G$501,'[1]Unos prihoda i primitaka'!$C$3:$C$501,"=12",'[1]Unos prihoda i primitaka'!$L$3:$L$501,"=71")</f>
        <v>0</v>
      </c>
      <c r="G17" s="18">
        <f>SUMIFS('[1]Unos prihoda i primitaka'!$G$3:$G$501,'[1]Unos prihoda i primitaka'!$C$3:$C$501,"=31",'[1]Unos prihoda i primitaka'!$L$3:$L$501,"=71")</f>
        <v>0</v>
      </c>
      <c r="H17" s="18">
        <f>SUMIFS('[1]Unos prihoda i primitaka'!$G$3:$G$501,'[1]Unos prihoda i primitaka'!$C$3:$C$501,"=41",'[1]Unos prihoda i primitaka'!$L$3:$L$501,"=71")</f>
        <v>0</v>
      </c>
      <c r="I17" s="18">
        <f>SUMIFS('[1]Unos prihoda i primitaka'!$G$3:$G$501,'[1]Unos prihoda i primitaka'!$C$3:$C$501,"=43",'[1]Unos prihoda i primitaka'!$L$3:$L$501,"=71")</f>
        <v>0</v>
      </c>
      <c r="J17" s="18">
        <f>SUMIFS('[1]Unos prihoda i primitaka'!$G$3:$G$501,'[1]Unos prihoda i primitaka'!$C$3:$C$501,"=51",'[1]Unos prihoda i primitaka'!$L$3:$L$501,"=71")</f>
        <v>0</v>
      </c>
      <c r="K17" s="18">
        <f>SUMIFS('[1]Unos prihoda i primitaka'!$G$3:$G$501,'[1]Unos prihoda i primitaka'!$C$3:$C$501,"=52",'[1]Unos prihoda i primitaka'!$L$3:$L$501,"=71")</f>
        <v>0</v>
      </c>
      <c r="L17" s="18">
        <f>SUMIFS('[1]Unos prihoda i primitaka'!$G$3:$G$501,'[1]Unos prihoda i primitaka'!$C$3:$C$501,"=552",'[1]Unos prihoda i primitaka'!$L$3:$L$501,"=71")</f>
        <v>0</v>
      </c>
      <c r="M17" s="18">
        <f>SUMIFS('[1]Unos prihoda i primitaka'!$G$3:$G$501,'[1]Unos prihoda i primitaka'!$C$3:$C$501,"=559",'[1]Unos prihoda i primitaka'!$L$3:$L$501,"=71")</f>
        <v>0</v>
      </c>
      <c r="N17" s="18">
        <f>SUMIFS('[1]Unos prihoda i primitaka'!$G$3:$G$501,'[1]Unos prihoda i primitaka'!$C$3:$C$501,"=561",'[1]Unos prihoda i primitaka'!$L$3:$L$501,"=71")</f>
        <v>0</v>
      </c>
      <c r="O17" s="18">
        <f>SUMIFS('[1]Unos prihoda i primitaka'!$G$3:$G$501,'[1]Unos prihoda i primitaka'!$C$3:$C$501,"=563",'[1]Unos prihoda i primitaka'!$L$3:$L$501,"=71")</f>
        <v>0</v>
      </c>
      <c r="P17" s="18">
        <f>SUMIFS('[1]Unos prihoda i primitaka'!$G$3:$G$501,'[1]Unos prihoda i primitaka'!$C$3:$C$501,"=573",'[1]Unos prihoda i primitaka'!$L$3:$L$501,"=71")</f>
        <v>0</v>
      </c>
      <c r="Q17" s="18">
        <f>SUMIFS('[1]Unos prihoda i primitaka'!$G$3:$G$501,'[1]Unos prihoda i primitaka'!$C$3:$C$501,"=575",'[1]Unos prihoda i primitaka'!$L$3:$L$501,"=71")</f>
        <v>0</v>
      </c>
      <c r="R17" s="18">
        <f>SUMIFS('[1]Unos prihoda i primitaka'!$G$3:$G$501,'[1]Unos prihoda i primitaka'!$C$3:$C$501,"=576",'[1]Unos prihoda i primitaka'!$L$3:$L$501,"=71")</f>
        <v>0</v>
      </c>
      <c r="S17" s="18">
        <f>SUMIFS('[1]Unos prihoda i primitaka'!$G$3:$G$501,'[1]Unos prihoda i primitaka'!$C$3:$C$501,"=581",'[1]Unos prihoda i primitaka'!$L$3:$L$501,"=71")</f>
        <v>0</v>
      </c>
      <c r="T17" s="18">
        <f>SUMIFS('[1]Unos prihoda i primitaka'!$G$3:$G$501,'[1]Unos prihoda i primitaka'!$C$3:$C$501,"=61",'[1]Unos prihoda i primitaka'!$L$3:$L$501,"=71")</f>
        <v>0</v>
      </c>
      <c r="U17" s="18">
        <f>SUMIFS('[1]Unos prihoda i primitaka'!$G$3:$G$501,'[1]Unos prihoda i primitaka'!$C$3:$C$501,"=63",'[1]Unos prihoda i primitaka'!$L$3:$L$501,"=71")</f>
        <v>0</v>
      </c>
      <c r="V17" s="18">
        <f>SUMIFS('[1]Unos prihoda i primitaka'!$G$3:$G$501,'[1]Unos prihoda i primitaka'!$C$3:$C$501,"=71",'[1]Unos prihoda i primitaka'!$L$3:$L$501,"=71")</f>
        <v>0</v>
      </c>
    </row>
    <row r="18" spans="1:22" x14ac:dyDescent="0.25">
      <c r="A18" s="12">
        <v>2023</v>
      </c>
      <c r="B18" s="19" t="s">
        <v>45</v>
      </c>
      <c r="C18" s="25" t="s">
        <v>46</v>
      </c>
      <c r="D18" s="17">
        <f t="shared" si="1"/>
        <v>0</v>
      </c>
      <c r="E18" s="18">
        <f>SUMIFS('[1]Unos prihoda i primitaka'!$G$3:$G$501,'[1]Unos prihoda i primitaka'!$C$3:$C$501,"=11",'[1]Unos prihoda i primitaka'!$L$3:$L$501,"=72")</f>
        <v>0</v>
      </c>
      <c r="F18" s="18">
        <f>SUMIFS('[1]Unos prihoda i primitaka'!$G$3:$G$501,'[1]Unos prihoda i primitaka'!$C$3:$C$501,"=12",'[1]Unos prihoda i primitaka'!$L$3:$L$501,"=72")</f>
        <v>0</v>
      </c>
      <c r="G18" s="18">
        <f>SUMIFS('[1]Unos prihoda i primitaka'!$G$3:$G$501,'[1]Unos prihoda i primitaka'!$C$3:$C$501,"=31",'[1]Unos prihoda i primitaka'!$L$3:$L$501,"=72")</f>
        <v>0</v>
      </c>
      <c r="H18" s="18">
        <f>SUMIFS('[1]Unos prihoda i primitaka'!$G$3:$G$501,'[1]Unos prihoda i primitaka'!$C$3:$C$501,"=41",'[1]Unos prihoda i primitaka'!$L$3:$L$501,"=72")</f>
        <v>0</v>
      </c>
      <c r="I18" s="18">
        <f>SUMIFS('[1]Unos prihoda i primitaka'!$G$3:$G$501,'[1]Unos prihoda i primitaka'!$C$3:$C$501,"=43",'[1]Unos prihoda i primitaka'!$L$3:$L$501,"=72")</f>
        <v>0</v>
      </c>
      <c r="J18" s="18">
        <f>SUMIFS('[1]Unos prihoda i primitaka'!$G$3:$G$501,'[1]Unos prihoda i primitaka'!$C$3:$C$501,"=51",'[1]Unos prihoda i primitaka'!$L$3:$L$501,"=72")</f>
        <v>0</v>
      </c>
      <c r="K18" s="18">
        <f>SUMIFS('[1]Unos prihoda i primitaka'!$G$3:$G$501,'[1]Unos prihoda i primitaka'!$C$3:$C$501,"=52",'[1]Unos prihoda i primitaka'!$L$3:$L$501,"=72")</f>
        <v>0</v>
      </c>
      <c r="L18" s="18">
        <f>SUMIFS('[1]Unos prihoda i primitaka'!$G$3:$G$501,'[1]Unos prihoda i primitaka'!$C$3:$C$501,"=552",'[1]Unos prihoda i primitaka'!$L$3:$L$501,"=72")</f>
        <v>0</v>
      </c>
      <c r="M18" s="18">
        <f>SUMIFS('[1]Unos prihoda i primitaka'!$G$3:$G$501,'[1]Unos prihoda i primitaka'!$C$3:$C$501,"=559",'[1]Unos prihoda i primitaka'!$L$3:$L$501,"=72")</f>
        <v>0</v>
      </c>
      <c r="N18" s="18">
        <f>SUMIFS('[1]Unos prihoda i primitaka'!$G$3:$G$501,'[1]Unos prihoda i primitaka'!$C$3:$C$501,"=561",'[1]Unos prihoda i primitaka'!$L$3:$L$501,"=72")</f>
        <v>0</v>
      </c>
      <c r="O18" s="18">
        <f>SUMIFS('[1]Unos prihoda i primitaka'!$G$3:$G$501,'[1]Unos prihoda i primitaka'!$C$3:$C$501,"=563",'[1]Unos prihoda i primitaka'!$L$3:$L$501,"=72")</f>
        <v>0</v>
      </c>
      <c r="P18" s="18">
        <f>SUMIFS('[1]Unos prihoda i primitaka'!$G$3:$G$501,'[1]Unos prihoda i primitaka'!$C$3:$C$501,"=573",'[1]Unos prihoda i primitaka'!$L$3:$L$501,"=72")</f>
        <v>0</v>
      </c>
      <c r="Q18" s="18">
        <f>SUMIFS('[1]Unos prihoda i primitaka'!$G$3:$G$501,'[1]Unos prihoda i primitaka'!$C$3:$C$501,"=575",'[1]Unos prihoda i primitaka'!$L$3:$L$501,"=72")</f>
        <v>0</v>
      </c>
      <c r="R18" s="18">
        <f>SUMIFS('[1]Unos prihoda i primitaka'!$G$3:$G$501,'[1]Unos prihoda i primitaka'!$C$3:$C$501,"=576",'[1]Unos prihoda i primitaka'!$L$3:$L$501,"=72")</f>
        <v>0</v>
      </c>
      <c r="S18" s="18">
        <f>SUMIFS('[1]Unos prihoda i primitaka'!$G$3:$G$501,'[1]Unos prihoda i primitaka'!$C$3:$C$501,"=581",'[1]Unos prihoda i primitaka'!$L$3:$L$501,"=72")</f>
        <v>0</v>
      </c>
      <c r="T18" s="18">
        <f>SUMIFS('[1]Unos prihoda i primitaka'!$G$3:$G$501,'[1]Unos prihoda i primitaka'!$C$3:$C$501,"=61",'[1]Unos prihoda i primitaka'!$L$3:$L$501,"=72")</f>
        <v>0</v>
      </c>
      <c r="U18" s="18">
        <f>SUMIFS('[1]Unos prihoda i primitaka'!$G$3:$G$501,'[1]Unos prihoda i primitaka'!$C$3:$C$501,"=63",'[1]Unos prihoda i primitaka'!$L$3:$L$501,"=72")</f>
        <v>0</v>
      </c>
      <c r="V18" s="18">
        <f>SUMIFS('[1]Unos prihoda i primitaka'!$G$3:$G$501,'[1]Unos prihoda i primitaka'!$C$3:$C$501,"=71",'[1]Unos prihoda i primitaka'!$L$3:$L$501,"=72")</f>
        <v>0</v>
      </c>
    </row>
    <row r="19" spans="1:22" x14ac:dyDescent="0.25">
      <c r="A19" s="12">
        <v>2023</v>
      </c>
      <c r="B19" s="22" t="s">
        <v>47</v>
      </c>
      <c r="C19" s="23" t="s">
        <v>42</v>
      </c>
      <c r="D19" s="17">
        <f>SUM(E19:V19)</f>
        <v>0</v>
      </c>
      <c r="E19" s="24">
        <f>SUM(E17:E18)</f>
        <v>0</v>
      </c>
      <c r="F19" s="24">
        <f t="shared" ref="F19:V19" si="3">SUM(F17:F18)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  <c r="R19" s="24">
        <f t="shared" si="3"/>
        <v>0</v>
      </c>
      <c r="S19" s="24">
        <f t="shared" si="3"/>
        <v>0</v>
      </c>
      <c r="T19" s="24">
        <f t="shared" si="3"/>
        <v>0</v>
      </c>
      <c r="U19" s="24">
        <f t="shared" si="3"/>
        <v>0</v>
      </c>
      <c r="V19" s="24">
        <f t="shared" si="3"/>
        <v>0</v>
      </c>
    </row>
    <row r="20" spans="1:22" x14ac:dyDescent="0.25">
      <c r="A20" s="1"/>
      <c r="B20" s="26"/>
      <c r="C20" s="26"/>
      <c r="D20" s="26"/>
      <c r="E20" s="26"/>
      <c r="F20" s="26"/>
      <c r="G20" s="26"/>
      <c r="H20" s="26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4"/>
      <c r="T20" s="1"/>
      <c r="U20" s="1"/>
      <c r="V20" s="1"/>
    </row>
    <row r="21" spans="1:22" ht="89.25" x14ac:dyDescent="0.25">
      <c r="A21" s="6" t="s">
        <v>4</v>
      </c>
      <c r="B21" s="7" t="s">
        <v>5</v>
      </c>
      <c r="C21" s="7" t="s">
        <v>6</v>
      </c>
      <c r="D21" s="8" t="s">
        <v>7</v>
      </c>
      <c r="E21" s="9" t="s">
        <v>8</v>
      </c>
      <c r="F21" s="9" t="s">
        <v>9</v>
      </c>
      <c r="G21" s="10" t="s">
        <v>10</v>
      </c>
      <c r="H21" s="10" t="s">
        <v>11</v>
      </c>
      <c r="I21" s="10" t="s">
        <v>12</v>
      </c>
      <c r="J21" s="10" t="s">
        <v>13</v>
      </c>
      <c r="K21" s="10" t="s">
        <v>14</v>
      </c>
      <c r="L21" s="10" t="s">
        <v>15</v>
      </c>
      <c r="M21" s="10" t="s">
        <v>16</v>
      </c>
      <c r="N21" s="10" t="s">
        <v>17</v>
      </c>
      <c r="O21" s="10" t="s">
        <v>18</v>
      </c>
      <c r="P21" s="10" t="s">
        <v>19</v>
      </c>
      <c r="Q21" s="10" t="s">
        <v>20</v>
      </c>
      <c r="R21" s="10" t="s">
        <v>21</v>
      </c>
      <c r="S21" s="11" t="s">
        <v>22</v>
      </c>
      <c r="T21" s="10" t="s">
        <v>23</v>
      </c>
      <c r="U21" s="11" t="s">
        <v>24</v>
      </c>
      <c r="V21" s="11" t="s">
        <v>25</v>
      </c>
    </row>
    <row r="22" spans="1:22" ht="21" x14ac:dyDescent="0.25">
      <c r="A22" s="12">
        <v>2024</v>
      </c>
      <c r="B22" s="13">
        <v>2024</v>
      </c>
      <c r="C22" s="13" t="s">
        <v>26</v>
      </c>
      <c r="D22" s="14">
        <f>SUM(E22:V22)</f>
        <v>12041726</v>
      </c>
      <c r="E22" s="14">
        <f t="shared" ref="E22:V22" si="4">+E33+E30</f>
        <v>8216704</v>
      </c>
      <c r="F22" s="14">
        <f t="shared" si="4"/>
        <v>1319</v>
      </c>
      <c r="G22" s="14">
        <f t="shared" si="4"/>
        <v>292021</v>
      </c>
      <c r="H22" s="14">
        <f t="shared" si="4"/>
        <v>0</v>
      </c>
      <c r="I22" s="14">
        <f t="shared" si="4"/>
        <v>2807994</v>
      </c>
      <c r="J22" s="14">
        <f t="shared" si="4"/>
        <v>286111</v>
      </c>
      <c r="K22" s="14">
        <f t="shared" si="4"/>
        <v>430102</v>
      </c>
      <c r="L22" s="14">
        <f t="shared" si="4"/>
        <v>0</v>
      </c>
      <c r="M22" s="14">
        <f t="shared" si="4"/>
        <v>0</v>
      </c>
      <c r="N22" s="14">
        <f t="shared" si="4"/>
        <v>7475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4">
        <f t="shared" si="4"/>
        <v>0</v>
      </c>
      <c r="T22" s="14">
        <f t="shared" si="4"/>
        <v>0</v>
      </c>
      <c r="U22" s="14">
        <f t="shared" si="4"/>
        <v>0</v>
      </c>
      <c r="V22" s="14">
        <f t="shared" si="4"/>
        <v>0</v>
      </c>
    </row>
    <row r="23" spans="1:22" x14ac:dyDescent="0.25">
      <c r="A23" s="12">
        <v>2024</v>
      </c>
      <c r="B23" s="15" t="s">
        <v>27</v>
      </c>
      <c r="C23" s="16" t="s">
        <v>28</v>
      </c>
      <c r="D23" s="17">
        <f t="shared" ref="D23:D33" si="5">SUM(E23:V23)</f>
        <v>0</v>
      </c>
      <c r="E23" s="18">
        <f>SUMIFS('[1]Unos prihoda i primitaka'!$H$3:$H$501,'[1]Unos prihoda i primitaka'!$C$3:$C$501,"=11",'[1]Unos prihoda i primitaka'!$L$3:$L$501,"=61")</f>
        <v>0</v>
      </c>
      <c r="F23" s="18">
        <f>SUMIFS('[1]Unos prihoda i primitaka'!$H$3:$H$501,'[1]Unos prihoda i primitaka'!$C$3:$C$501,"=12",'[1]Unos prihoda i primitaka'!$L$3:$L$501,"=61")</f>
        <v>0</v>
      </c>
      <c r="G23" s="18">
        <f>SUMIFS('[1]Unos prihoda i primitaka'!$H$3:$H$501,'[1]Unos prihoda i primitaka'!$C$3:$C$501,"=31",'[1]Unos prihoda i primitaka'!$L$3:$L$501,"=61")</f>
        <v>0</v>
      </c>
      <c r="H23" s="18">
        <f>SUMIFS('[1]Unos prihoda i primitaka'!$H$3:$H$501,'[1]Unos prihoda i primitaka'!$C$3:$C$501,"=41",'[1]Unos prihoda i primitaka'!$L$3:$L$501,"=61")</f>
        <v>0</v>
      </c>
      <c r="I23" s="18">
        <f>SUMIFS('[1]Unos prihoda i primitaka'!$H$3:$H$501,'[1]Unos prihoda i primitaka'!$C$3:$C$501,"=43",'[1]Unos prihoda i primitaka'!$L$3:$L$501,"=61")</f>
        <v>0</v>
      </c>
      <c r="J23" s="18">
        <f>SUMIFS('[1]Unos prihoda i primitaka'!$H$3:$H$501,'[1]Unos prihoda i primitaka'!$C$3:$C$501,"=51",'[1]Unos prihoda i primitaka'!$L$3:$L$501,"=61")</f>
        <v>0</v>
      </c>
      <c r="K23" s="18">
        <f>SUMIFS('[1]Unos prihoda i primitaka'!$H$3:$H$501,'[1]Unos prihoda i primitaka'!$C$3:$C$501,"=52",'[1]Unos prihoda i primitaka'!$L$3:$L$501,"=61")</f>
        <v>0</v>
      </c>
      <c r="L23" s="18">
        <f>SUMIFS('[1]Unos prihoda i primitaka'!$H$3:$H$501,'[1]Unos prihoda i primitaka'!$C$3:$C$501,"=552",'[1]Unos prihoda i primitaka'!$L$3:$L$501,"=61")</f>
        <v>0</v>
      </c>
      <c r="M23" s="18">
        <f>SUMIFS('[1]Unos prihoda i primitaka'!$H$3:$H$501,'[1]Unos prihoda i primitaka'!$C$3:$C$501,"=559",'[1]Unos prihoda i primitaka'!$L$3:$L$501,"=61")</f>
        <v>0</v>
      </c>
      <c r="N23" s="18">
        <f>SUMIFS('[1]Unos prihoda i primitaka'!$H$3:$H$501,'[1]Unos prihoda i primitaka'!$C$3:$C$501,"=561",'[1]Unos prihoda i primitaka'!$L$3:$L$501,"=61")</f>
        <v>0</v>
      </c>
      <c r="O23" s="18">
        <f>SUMIFS('[1]Unos prihoda i primitaka'!$H$3:$H$501,'[1]Unos prihoda i primitaka'!$C$3:$C$501,"=563",'[1]Unos prihoda i primitaka'!$L$3:$L$501,"=61")</f>
        <v>0</v>
      </c>
      <c r="P23" s="18">
        <f>SUMIFS('[1]Unos prihoda i primitaka'!$H$3:$H$501,'[1]Unos prihoda i primitaka'!$C$3:$C$501,"=573",'[1]Unos prihoda i primitaka'!$L$3:$L$501,"=61")</f>
        <v>0</v>
      </c>
      <c r="Q23" s="18">
        <f>SUMIFS('[1]Unos prihoda i primitaka'!$H$3:$H$501,'[1]Unos prihoda i primitaka'!$C$3:$C$501,"=575",'[1]Unos prihoda i primitaka'!$L$3:$L$501,"=61")</f>
        <v>0</v>
      </c>
      <c r="R23" s="18">
        <f>SUMIFS('[1]Unos prihoda i primitaka'!$H$3:$H$501,'[1]Unos prihoda i primitaka'!$C$3:$C$501,"=576",'[1]Unos prihoda i primitaka'!$L$3:$L$501,"=61")</f>
        <v>0</v>
      </c>
      <c r="S23" s="18">
        <f>SUMIFS('[1]Unos prihoda i primitaka'!$H$3:$H$501,'[1]Unos prihoda i primitaka'!$C$3:$C$501,"=581",'[1]Unos prihoda i primitaka'!$L$3:$L$501,"=61")</f>
        <v>0</v>
      </c>
      <c r="T23" s="18">
        <f>SUMIFS('[1]Unos prihoda i primitaka'!$H$3:$H$501,'[1]Unos prihoda i primitaka'!$C$3:$C$501,"=61",'[1]Unos prihoda i primitaka'!$L$3:$L$501,"=61")</f>
        <v>0</v>
      </c>
      <c r="U23" s="18">
        <f>SUMIFS('[1]Unos prihoda i primitaka'!$H$3:$H$501,'[1]Unos prihoda i primitaka'!$C$3:$C$501,"=63",'[1]Unos prihoda i primitaka'!$L$3:$L$501,"=61")</f>
        <v>0</v>
      </c>
      <c r="V23" s="18">
        <f>SUMIFS('[1]Unos prihoda i primitaka'!$H$3:$H$501,'[1]Unos prihoda i primitaka'!$C$3:$C$501,"=71",'[1]Unos prihoda i primitaka'!$L$3:$L$501,"=61")</f>
        <v>0</v>
      </c>
    </row>
    <row r="24" spans="1:22" ht="25.5" x14ac:dyDescent="0.25">
      <c r="A24" s="12">
        <v>2024</v>
      </c>
      <c r="B24" s="15" t="s">
        <v>29</v>
      </c>
      <c r="C24" s="16" t="s">
        <v>30</v>
      </c>
      <c r="D24" s="17">
        <f t="shared" si="5"/>
        <v>723688</v>
      </c>
      <c r="E24" s="18">
        <f>SUMIFS('[1]Unos prihoda i primitaka'!$H$3:$H$501,'[1]Unos prihoda i primitaka'!$C$3:$C$501,"=11",'[1]Unos prihoda i primitaka'!$L$3:$L$501,"=63")</f>
        <v>0</v>
      </c>
      <c r="F24" s="18">
        <f>SUMIFS('[1]Unos prihoda i primitaka'!$H$3:$H$501,'[1]Unos prihoda i primitaka'!$C$3:$C$501,"=12",'[1]Unos prihoda i primitaka'!$L$3:$L$501,"=63")</f>
        <v>0</v>
      </c>
      <c r="G24" s="18">
        <f>SUMIFS('[1]Unos prihoda i primitaka'!$H$3:$H$501,'[1]Unos prihoda i primitaka'!$C$3:$C$501,"=31",'[1]Unos prihoda i primitaka'!$L$3:$L$501,"=63")</f>
        <v>0</v>
      </c>
      <c r="H24" s="18">
        <f>SUMIFS('[1]Unos prihoda i primitaka'!$H$3:$H$501,'[1]Unos prihoda i primitaka'!$C$3:$C$501,"=41",'[1]Unos prihoda i primitaka'!$L$3:$L$501,"=63")</f>
        <v>0</v>
      </c>
      <c r="I24" s="18">
        <f>SUMIFS('[1]Unos prihoda i primitaka'!$H$3:$H$501,'[1]Unos prihoda i primitaka'!$C$3:$C$501,"=43",'[1]Unos prihoda i primitaka'!$L$3:$L$501,"=63")</f>
        <v>0</v>
      </c>
      <c r="J24" s="18">
        <f>SUMIFS('[1]Unos prihoda i primitaka'!$H$3:$H$501,'[1]Unos prihoda i primitaka'!$C$3:$C$501,"=51",'[1]Unos prihoda i primitaka'!$L$3:$L$501,"=63")</f>
        <v>286111</v>
      </c>
      <c r="K24" s="18">
        <f>SUMIFS('[1]Unos prihoda i primitaka'!$H$3:$H$501,'[1]Unos prihoda i primitaka'!$C$3:$C$501,"=52",'[1]Unos prihoda i primitaka'!$L$3:$L$501,"=63")</f>
        <v>430102</v>
      </c>
      <c r="L24" s="18">
        <f>SUMIFS('[1]Unos prihoda i primitaka'!$H$3:$H$501,'[1]Unos prihoda i primitaka'!$C$3:$C$501,"=552",'[1]Unos prihoda i primitaka'!$L$3:$L$501,"=63")</f>
        <v>0</v>
      </c>
      <c r="M24" s="18">
        <f>SUMIFS('[1]Unos prihoda i primitaka'!$H$3:$H$501,'[1]Unos prihoda i primitaka'!$C$3:$C$501,"=559",'[1]Unos prihoda i primitaka'!$L$3:$L$501,"=63")</f>
        <v>0</v>
      </c>
      <c r="N24" s="18">
        <f>SUMIFS('[1]Unos prihoda i primitaka'!$H$3:$H$501,'[1]Unos prihoda i primitaka'!$C$3:$C$501,"=561",'[1]Unos prihoda i primitaka'!$L$3:$L$501,"=63")</f>
        <v>7475</v>
      </c>
      <c r="O24" s="18">
        <f>SUMIFS('[1]Unos prihoda i primitaka'!$H$3:$H$501,'[1]Unos prihoda i primitaka'!$C$3:$C$501,"=563",'[1]Unos prihoda i primitaka'!$L$3:$L$501,"=63")</f>
        <v>0</v>
      </c>
      <c r="P24" s="18">
        <f>SUMIFS('[1]Unos prihoda i primitaka'!$H$3:$H$501,'[1]Unos prihoda i primitaka'!$C$3:$C$501,"=573",'[1]Unos prihoda i primitaka'!$L$3:$L$501,"=63")</f>
        <v>0</v>
      </c>
      <c r="Q24" s="18">
        <f>SUMIFS('[1]Unos prihoda i primitaka'!$H$3:$H$501,'[1]Unos prihoda i primitaka'!$C$3:$C$501,"=575",'[1]Unos prihoda i primitaka'!$L$3:$L$501,"=63")</f>
        <v>0</v>
      </c>
      <c r="R24" s="18">
        <f>SUMIFS('[1]Unos prihoda i primitaka'!$H$3:$H$501,'[1]Unos prihoda i primitaka'!$C$3:$C$501,"=576",'[1]Unos prihoda i primitaka'!$L$3:$L$501,"=63")</f>
        <v>0</v>
      </c>
      <c r="S24" s="18">
        <f>SUMIFS('[1]Unos prihoda i primitaka'!$H$3:$H$501,'[1]Unos prihoda i primitaka'!$C$3:$C$501,"=581",'[1]Unos prihoda i primitaka'!$L$3:$L$501,"=63")</f>
        <v>0</v>
      </c>
      <c r="T24" s="18">
        <f>SUMIFS('[1]Unos prihoda i primitaka'!$H$3:$H$501,'[1]Unos prihoda i primitaka'!$C$3:$C$501,"=61",'[1]Unos prihoda i primitaka'!$L$3:$L$501,"=63")</f>
        <v>0</v>
      </c>
      <c r="U24" s="18">
        <f>SUMIFS('[1]Unos prihoda i primitaka'!$H$3:$H$501,'[1]Unos prihoda i primitaka'!$C$3:$C$501,"=63",'[1]Unos prihoda i primitaka'!$L$3:$L$501,"=63")</f>
        <v>0</v>
      </c>
      <c r="V24" s="18">
        <f>SUMIFS('[1]Unos prihoda i primitaka'!$H$3:$H$501,'[1]Unos prihoda i primitaka'!$C$3:$C$501,"=71",'[1]Unos prihoda i primitaka'!$L$3:$L$501,"=63")</f>
        <v>0</v>
      </c>
    </row>
    <row r="25" spans="1:22" x14ac:dyDescent="0.25">
      <c r="A25" s="12">
        <v>2024</v>
      </c>
      <c r="B25" s="19" t="s">
        <v>31</v>
      </c>
      <c r="C25" s="20" t="s">
        <v>32</v>
      </c>
      <c r="D25" s="17">
        <f t="shared" si="5"/>
        <v>0</v>
      </c>
      <c r="E25" s="18">
        <f>SUMIFS('[1]Unos prihoda i primitaka'!$H$3:$H$501,'[1]Unos prihoda i primitaka'!$C$3:$C$501,"=11",'[1]Unos prihoda i primitaka'!$L$3:$L$501,"=64")</f>
        <v>0</v>
      </c>
      <c r="F25" s="18">
        <f>SUMIFS('[1]Unos prihoda i primitaka'!$H$3:$H$501,'[1]Unos prihoda i primitaka'!$C$3:$C$501,"=12",'[1]Unos prihoda i primitaka'!$L$3:$L$501,"=64")</f>
        <v>0</v>
      </c>
      <c r="G25" s="18">
        <f>SUMIFS('[1]Unos prihoda i primitaka'!$H$3:$H$501,'[1]Unos prihoda i primitaka'!$C$3:$C$501,"=31",'[1]Unos prihoda i primitaka'!$L$3:$L$501,"=64")</f>
        <v>0</v>
      </c>
      <c r="H25" s="18">
        <f>SUMIFS('[1]Unos prihoda i primitaka'!$H$3:$H$501,'[1]Unos prihoda i primitaka'!$C$3:$C$501,"=41",'[1]Unos prihoda i primitaka'!$L$3:$L$501,"=64")</f>
        <v>0</v>
      </c>
      <c r="I25" s="18">
        <f>SUMIFS('[1]Unos prihoda i primitaka'!$H$3:$H$501,'[1]Unos prihoda i primitaka'!$C$3:$C$501,"=43",'[1]Unos prihoda i primitaka'!$L$3:$L$501,"=64")</f>
        <v>0</v>
      </c>
      <c r="J25" s="18">
        <f>SUMIFS('[1]Unos prihoda i primitaka'!$H$3:$H$501,'[1]Unos prihoda i primitaka'!$C$3:$C$501,"=51",'[1]Unos prihoda i primitaka'!$L$3:$L$501,"=64")</f>
        <v>0</v>
      </c>
      <c r="K25" s="18">
        <f>SUMIFS('[1]Unos prihoda i primitaka'!$H$3:$H$501,'[1]Unos prihoda i primitaka'!$C$3:$C$501,"=52",'[1]Unos prihoda i primitaka'!$L$3:$L$501,"=64")</f>
        <v>0</v>
      </c>
      <c r="L25" s="18">
        <f>SUMIFS('[1]Unos prihoda i primitaka'!$H$3:$H$501,'[1]Unos prihoda i primitaka'!$C$3:$C$501,"=552",'[1]Unos prihoda i primitaka'!$L$3:$L$501,"=64")</f>
        <v>0</v>
      </c>
      <c r="M25" s="18">
        <f>SUMIFS('[1]Unos prihoda i primitaka'!$H$3:$H$501,'[1]Unos prihoda i primitaka'!$C$3:$C$501,"=559",'[1]Unos prihoda i primitaka'!$L$3:$L$501,"=64")</f>
        <v>0</v>
      </c>
      <c r="N25" s="18">
        <f>SUMIFS('[1]Unos prihoda i primitaka'!$H$3:$H$501,'[1]Unos prihoda i primitaka'!$C$3:$C$501,"=561",'[1]Unos prihoda i primitaka'!$L$3:$L$501,"=64")</f>
        <v>0</v>
      </c>
      <c r="O25" s="18">
        <f>SUMIFS('[1]Unos prihoda i primitaka'!$H$3:$H$501,'[1]Unos prihoda i primitaka'!$C$3:$C$501,"=563",'[1]Unos prihoda i primitaka'!$L$3:$L$501,"=64")</f>
        <v>0</v>
      </c>
      <c r="P25" s="18">
        <f>SUMIFS('[1]Unos prihoda i primitaka'!$H$3:$H$501,'[1]Unos prihoda i primitaka'!$C$3:$C$501,"=573",'[1]Unos prihoda i primitaka'!$L$3:$L$501,"=64")</f>
        <v>0</v>
      </c>
      <c r="Q25" s="18">
        <f>SUMIFS('[1]Unos prihoda i primitaka'!$H$3:$H$501,'[1]Unos prihoda i primitaka'!$C$3:$C$501,"=575",'[1]Unos prihoda i primitaka'!$L$3:$L$501,"=64")</f>
        <v>0</v>
      </c>
      <c r="R25" s="18">
        <f>SUMIFS('[1]Unos prihoda i primitaka'!$H$3:$H$501,'[1]Unos prihoda i primitaka'!$C$3:$C$501,"=576",'[1]Unos prihoda i primitaka'!$L$3:$L$501,"=64")</f>
        <v>0</v>
      </c>
      <c r="S25" s="18">
        <f>SUMIFS('[1]Unos prihoda i primitaka'!$H$3:$H$501,'[1]Unos prihoda i primitaka'!$C$3:$C$501,"=581",'[1]Unos prihoda i primitaka'!$L$3:$L$501,"=64")</f>
        <v>0</v>
      </c>
      <c r="T25" s="18">
        <f>SUMIFS('[1]Unos prihoda i primitaka'!$H$3:$H$501,'[1]Unos prihoda i primitaka'!$C$3:$C$501,"=61",'[1]Unos prihoda i primitaka'!$L$3:$L$501,"=64")</f>
        <v>0</v>
      </c>
      <c r="U25" s="18">
        <f>SUMIFS('[1]Unos prihoda i primitaka'!$H$3:$H$501,'[1]Unos prihoda i primitaka'!$C$3:$C$501,"=63",'[1]Unos prihoda i primitaka'!$L$3:$L$501,"=64")</f>
        <v>0</v>
      </c>
      <c r="V25" s="18">
        <f>SUMIFS('[1]Unos prihoda i primitaka'!$H$3:$H$501,'[1]Unos prihoda i primitaka'!$C$3:$C$501,"=71",'[1]Unos prihoda i primitaka'!$L$3:$L$501,"=64")</f>
        <v>0</v>
      </c>
    </row>
    <row r="26" spans="1:22" ht="25.5" x14ac:dyDescent="0.25">
      <c r="A26" s="12">
        <v>2024</v>
      </c>
      <c r="B26" s="19" t="s">
        <v>33</v>
      </c>
      <c r="C26" s="20" t="s">
        <v>34</v>
      </c>
      <c r="D26" s="17">
        <f t="shared" si="5"/>
        <v>2807994</v>
      </c>
      <c r="E26" s="18">
        <f>SUMIFS('[1]Unos prihoda i primitaka'!$H$3:$H$501,'[1]Unos prihoda i primitaka'!$C$3:$C$501,"=11",'[1]Unos prihoda i primitaka'!$L$3:$L$501,"=65")</f>
        <v>0</v>
      </c>
      <c r="F26" s="18">
        <f>SUMIFS('[1]Unos prihoda i primitaka'!$H$3:$H$501,'[1]Unos prihoda i primitaka'!$C$3:$C$501,"=12",'[1]Unos prihoda i primitaka'!$L$3:$L$501,"=65")</f>
        <v>0</v>
      </c>
      <c r="G26" s="18">
        <f>SUMIFS('[1]Unos prihoda i primitaka'!$H$3:$H$501,'[1]Unos prihoda i primitaka'!$C$3:$C$501,"=31",'[1]Unos prihoda i primitaka'!$L$3:$L$501,"=65")</f>
        <v>0</v>
      </c>
      <c r="H26" s="18">
        <f>SUMIFS('[1]Unos prihoda i primitaka'!$H$3:$H$501,'[1]Unos prihoda i primitaka'!$C$3:$C$501,"=41",'[1]Unos prihoda i primitaka'!$L$3:$L$501,"=65")</f>
        <v>0</v>
      </c>
      <c r="I26" s="18">
        <f>SUMIFS('[1]Unos prihoda i primitaka'!$H$3:$H$501,'[1]Unos prihoda i primitaka'!$C$3:$C$501,"=43",'[1]Unos prihoda i primitaka'!$L$3:$L$501,"=65")</f>
        <v>2807994</v>
      </c>
      <c r="J26" s="18">
        <f>SUMIFS('[1]Unos prihoda i primitaka'!$H$3:$H$501,'[1]Unos prihoda i primitaka'!$C$3:$C$501,"=51",'[1]Unos prihoda i primitaka'!$L$3:$L$501,"=65")</f>
        <v>0</v>
      </c>
      <c r="K26" s="18">
        <f>SUMIFS('[1]Unos prihoda i primitaka'!$H$3:$H$501,'[1]Unos prihoda i primitaka'!$C$3:$C$501,"=52",'[1]Unos prihoda i primitaka'!$L$3:$L$501,"=65")</f>
        <v>0</v>
      </c>
      <c r="L26" s="18">
        <f>SUMIFS('[1]Unos prihoda i primitaka'!$H$3:$H$501,'[1]Unos prihoda i primitaka'!$C$3:$C$501,"=552",'[1]Unos prihoda i primitaka'!$L$3:$L$501,"=65")</f>
        <v>0</v>
      </c>
      <c r="M26" s="18">
        <f>SUMIFS('[1]Unos prihoda i primitaka'!$H$3:$H$501,'[1]Unos prihoda i primitaka'!$C$3:$C$501,"=559",'[1]Unos prihoda i primitaka'!$L$3:$L$501,"=65")</f>
        <v>0</v>
      </c>
      <c r="N26" s="18">
        <f>SUMIFS('[1]Unos prihoda i primitaka'!$H$3:$H$501,'[1]Unos prihoda i primitaka'!$C$3:$C$501,"=561",'[1]Unos prihoda i primitaka'!$L$3:$L$501,"=65")</f>
        <v>0</v>
      </c>
      <c r="O26" s="18">
        <f>SUMIFS('[1]Unos prihoda i primitaka'!$H$3:$H$501,'[1]Unos prihoda i primitaka'!$C$3:$C$501,"=563",'[1]Unos prihoda i primitaka'!$L$3:$L$501,"=65")</f>
        <v>0</v>
      </c>
      <c r="P26" s="18">
        <f>SUMIFS('[1]Unos prihoda i primitaka'!$H$3:$H$501,'[1]Unos prihoda i primitaka'!$C$3:$C$501,"=573",'[1]Unos prihoda i primitaka'!$L$3:$L$501,"=65")</f>
        <v>0</v>
      </c>
      <c r="Q26" s="18">
        <f>SUMIFS('[1]Unos prihoda i primitaka'!$H$3:$H$501,'[1]Unos prihoda i primitaka'!$C$3:$C$501,"=575",'[1]Unos prihoda i primitaka'!$L$3:$L$501,"=65")</f>
        <v>0</v>
      </c>
      <c r="R26" s="18">
        <f>SUMIFS('[1]Unos prihoda i primitaka'!$H$3:$H$501,'[1]Unos prihoda i primitaka'!$C$3:$C$501,"=576",'[1]Unos prihoda i primitaka'!$L$3:$L$501,"=65")</f>
        <v>0</v>
      </c>
      <c r="S26" s="18">
        <f>SUMIFS('[1]Unos prihoda i primitaka'!$H$3:$H$501,'[1]Unos prihoda i primitaka'!$C$3:$C$501,"=581",'[1]Unos prihoda i primitaka'!$L$3:$L$501,"=65")</f>
        <v>0</v>
      </c>
      <c r="T26" s="18">
        <f>SUMIFS('[1]Unos prihoda i primitaka'!$H$3:$H$501,'[1]Unos prihoda i primitaka'!$C$3:$C$501,"=61",'[1]Unos prihoda i primitaka'!$L$3:$L$501,"=65")</f>
        <v>0</v>
      </c>
      <c r="U26" s="18">
        <f>SUMIFS('[1]Unos prihoda i primitaka'!$H$3:$H$501,'[1]Unos prihoda i primitaka'!$C$3:$C$501,"=63",'[1]Unos prihoda i primitaka'!$L$3:$L$501,"=65")</f>
        <v>0</v>
      </c>
      <c r="V26" s="18">
        <f>SUMIFS('[1]Unos prihoda i primitaka'!$H$3:$H$501,'[1]Unos prihoda i primitaka'!$C$3:$C$501,"=71",'[1]Unos prihoda i primitaka'!$L$3:$L$501,"=65")</f>
        <v>0</v>
      </c>
    </row>
    <row r="27" spans="1:22" ht="25.5" x14ac:dyDescent="0.25">
      <c r="A27" s="12">
        <v>2024</v>
      </c>
      <c r="B27" s="21" t="s">
        <v>35</v>
      </c>
      <c r="C27" s="20" t="s">
        <v>36</v>
      </c>
      <c r="D27" s="17">
        <f t="shared" si="5"/>
        <v>292021</v>
      </c>
      <c r="E27" s="18">
        <f>SUMIFS('[1]Unos prihoda i primitaka'!$H$3:$H$501,'[1]Unos prihoda i primitaka'!$C$3:$C$501,"=11",'[1]Unos prihoda i primitaka'!$L$3:$L$501,"=66")</f>
        <v>0</v>
      </c>
      <c r="F27" s="18">
        <f>SUMIFS('[1]Unos prihoda i primitaka'!$H$3:$H$501,'[1]Unos prihoda i primitaka'!$C$3:$C$501,"=12",'[1]Unos prihoda i primitaka'!$L$3:$L$501,"=66")</f>
        <v>0</v>
      </c>
      <c r="G27" s="18">
        <f>SUMIFS('[1]Unos prihoda i primitaka'!$H$3:$H$501,'[1]Unos prihoda i primitaka'!$C$3:$C$501,"=31",'[1]Unos prihoda i primitaka'!$L$3:$L$501,"=66")</f>
        <v>292021</v>
      </c>
      <c r="H27" s="18">
        <f>SUMIFS('[1]Unos prihoda i primitaka'!$H$3:$H$501,'[1]Unos prihoda i primitaka'!$C$3:$C$501,"=41",'[1]Unos prihoda i primitaka'!$L$3:$L$501,"=66")</f>
        <v>0</v>
      </c>
      <c r="I27" s="18">
        <f>SUMIFS('[1]Unos prihoda i primitaka'!$H$3:$H$501,'[1]Unos prihoda i primitaka'!$C$3:$C$501,"=43",'[1]Unos prihoda i primitaka'!$L$3:$L$501,"=66")</f>
        <v>0</v>
      </c>
      <c r="J27" s="18">
        <f>SUMIFS('[1]Unos prihoda i primitaka'!$H$3:$H$501,'[1]Unos prihoda i primitaka'!$C$3:$C$501,"=51",'[1]Unos prihoda i primitaka'!$L$3:$L$501,"=66")</f>
        <v>0</v>
      </c>
      <c r="K27" s="18">
        <f>SUMIFS('[1]Unos prihoda i primitaka'!$H$3:$H$501,'[1]Unos prihoda i primitaka'!$C$3:$C$501,"=52",'[1]Unos prihoda i primitaka'!$L$3:$L$501,"=66")</f>
        <v>0</v>
      </c>
      <c r="L27" s="18">
        <f>SUMIFS('[1]Unos prihoda i primitaka'!$H$3:$H$501,'[1]Unos prihoda i primitaka'!$C$3:$C$501,"=552",'[1]Unos prihoda i primitaka'!$L$3:$L$501,"=66")</f>
        <v>0</v>
      </c>
      <c r="M27" s="18">
        <f>SUMIFS('[1]Unos prihoda i primitaka'!$H$3:$H$501,'[1]Unos prihoda i primitaka'!$C$3:$C$501,"=559",'[1]Unos prihoda i primitaka'!$L$3:$L$501,"=66")</f>
        <v>0</v>
      </c>
      <c r="N27" s="18">
        <f>SUMIFS('[1]Unos prihoda i primitaka'!$H$3:$H$501,'[1]Unos prihoda i primitaka'!$C$3:$C$501,"=561",'[1]Unos prihoda i primitaka'!$L$3:$L$501,"=66")</f>
        <v>0</v>
      </c>
      <c r="O27" s="18">
        <f>SUMIFS('[1]Unos prihoda i primitaka'!$H$3:$H$501,'[1]Unos prihoda i primitaka'!$C$3:$C$501,"=563",'[1]Unos prihoda i primitaka'!$L$3:$L$501,"=66")</f>
        <v>0</v>
      </c>
      <c r="P27" s="18">
        <f>SUMIFS('[1]Unos prihoda i primitaka'!$H$3:$H$501,'[1]Unos prihoda i primitaka'!$C$3:$C$501,"=573",'[1]Unos prihoda i primitaka'!$L$3:$L$501,"=66")</f>
        <v>0</v>
      </c>
      <c r="Q27" s="18">
        <f>SUMIFS('[1]Unos prihoda i primitaka'!$H$3:$H$501,'[1]Unos prihoda i primitaka'!$C$3:$C$501,"=575",'[1]Unos prihoda i primitaka'!$L$3:$L$501,"=66")</f>
        <v>0</v>
      </c>
      <c r="R27" s="18">
        <f>SUMIFS('[1]Unos prihoda i primitaka'!$H$3:$H$501,'[1]Unos prihoda i primitaka'!$C$3:$C$501,"=576",'[1]Unos prihoda i primitaka'!$L$3:$L$501,"=66")</f>
        <v>0</v>
      </c>
      <c r="S27" s="18">
        <f>SUMIFS('[1]Unos prihoda i primitaka'!$H$3:$H$501,'[1]Unos prihoda i primitaka'!$C$3:$C$501,"=581",'[1]Unos prihoda i primitaka'!$L$3:$L$501,"=66")</f>
        <v>0</v>
      </c>
      <c r="T27" s="18">
        <f>SUMIFS('[1]Unos prihoda i primitaka'!$H$3:$H$501,'[1]Unos prihoda i primitaka'!$C$3:$C$501,"=61",'[1]Unos prihoda i primitaka'!$L$3:$L$501,"=66")</f>
        <v>0</v>
      </c>
      <c r="U27" s="18">
        <f>SUMIFS('[1]Unos prihoda i primitaka'!$H$3:$H$501,'[1]Unos prihoda i primitaka'!$C$3:$C$501,"=63",'[1]Unos prihoda i primitaka'!$L$3:$L$501,"=66")</f>
        <v>0</v>
      </c>
      <c r="V27" s="18">
        <f>SUMIFS('[1]Unos prihoda i primitaka'!$H$3:$H$501,'[1]Unos prihoda i primitaka'!$C$3:$C$501,"=71",'[1]Unos prihoda i primitaka'!$L$3:$L$501,"=66")</f>
        <v>0</v>
      </c>
    </row>
    <row r="28" spans="1:22" x14ac:dyDescent="0.25">
      <c r="A28" s="12">
        <v>2024</v>
      </c>
      <c r="B28" s="19" t="s">
        <v>37</v>
      </c>
      <c r="C28" s="20" t="s">
        <v>38</v>
      </c>
      <c r="D28" s="17">
        <f t="shared" si="5"/>
        <v>8218023</v>
      </c>
      <c r="E28" s="18">
        <f>SUMIFS('[1]Unos prihoda i primitaka'!$H$3:$H$501,'[1]Unos prihoda i primitaka'!$C$3:$C$501,"=11",'[1]Unos prihoda i primitaka'!$L$3:$L$501,"=67")</f>
        <v>8216704</v>
      </c>
      <c r="F28" s="18">
        <f>SUMIFS('[1]Unos prihoda i primitaka'!$H$3:$H$501,'[1]Unos prihoda i primitaka'!$C$3:$C$501,"=12",'[1]Unos prihoda i primitaka'!$L$3:$L$501,"=67")</f>
        <v>1319</v>
      </c>
      <c r="G28" s="18">
        <f>SUMIFS('[1]Unos prihoda i primitaka'!$H$3:$H$501,'[1]Unos prihoda i primitaka'!$C$3:$C$501,"=31",'[1]Unos prihoda i primitaka'!$L$3:$L$501,"=67")</f>
        <v>0</v>
      </c>
      <c r="H28" s="18">
        <f>SUMIFS('[1]Unos prihoda i primitaka'!$H$3:$H$501,'[1]Unos prihoda i primitaka'!$C$3:$C$501,"=41",'[1]Unos prihoda i primitaka'!$L$3:$L$501,"=67")</f>
        <v>0</v>
      </c>
      <c r="I28" s="18">
        <f>SUMIFS('[1]Unos prihoda i primitaka'!$H$3:$H$501,'[1]Unos prihoda i primitaka'!$C$3:$C$501,"=43",'[1]Unos prihoda i primitaka'!$L$3:$L$501,"=67")</f>
        <v>0</v>
      </c>
      <c r="J28" s="18">
        <f>SUMIFS('[1]Unos prihoda i primitaka'!$H$3:$H$501,'[1]Unos prihoda i primitaka'!$C$3:$C$501,"=51",'[1]Unos prihoda i primitaka'!$L$3:$L$501,"=67")</f>
        <v>0</v>
      </c>
      <c r="K28" s="18">
        <f>SUMIFS('[1]Unos prihoda i primitaka'!$H$3:$H$501,'[1]Unos prihoda i primitaka'!$C$3:$C$501,"=52",'[1]Unos prihoda i primitaka'!$L$3:$L$501,"=67")</f>
        <v>0</v>
      </c>
      <c r="L28" s="18">
        <f>SUMIFS('[1]Unos prihoda i primitaka'!$H$3:$H$501,'[1]Unos prihoda i primitaka'!$C$3:$C$501,"=552",'[1]Unos prihoda i primitaka'!$L$3:$L$501,"=67")</f>
        <v>0</v>
      </c>
      <c r="M28" s="18">
        <f>SUMIFS('[1]Unos prihoda i primitaka'!$H$3:$H$501,'[1]Unos prihoda i primitaka'!$C$3:$C$501,"=559",'[1]Unos prihoda i primitaka'!$L$3:$L$501,"=67")</f>
        <v>0</v>
      </c>
      <c r="N28" s="18">
        <f>SUMIFS('[1]Unos prihoda i primitaka'!$H$3:$H$501,'[1]Unos prihoda i primitaka'!$C$3:$C$501,"=561",'[1]Unos prihoda i primitaka'!$L$3:$L$501,"=67")</f>
        <v>0</v>
      </c>
      <c r="O28" s="18">
        <f>SUMIFS('[1]Unos prihoda i primitaka'!$H$3:$H$501,'[1]Unos prihoda i primitaka'!$C$3:$C$501,"=563",'[1]Unos prihoda i primitaka'!$L$3:$L$501,"=67")</f>
        <v>0</v>
      </c>
      <c r="P28" s="18">
        <f>SUMIFS('[1]Unos prihoda i primitaka'!$H$3:$H$501,'[1]Unos prihoda i primitaka'!$C$3:$C$501,"=573",'[1]Unos prihoda i primitaka'!$L$3:$L$501,"=67")</f>
        <v>0</v>
      </c>
      <c r="Q28" s="18">
        <f>SUMIFS('[1]Unos prihoda i primitaka'!$H$3:$H$501,'[1]Unos prihoda i primitaka'!$C$3:$C$501,"=575",'[1]Unos prihoda i primitaka'!$L$3:$L$501,"=67")</f>
        <v>0</v>
      </c>
      <c r="R28" s="18">
        <f>SUMIFS('[1]Unos prihoda i primitaka'!$H$3:$H$501,'[1]Unos prihoda i primitaka'!$C$3:$C$501,"=576",'[1]Unos prihoda i primitaka'!$L$3:$L$501,"=67")</f>
        <v>0</v>
      </c>
      <c r="S28" s="18">
        <f>SUMIFS('[1]Unos prihoda i primitaka'!$H$3:$H$501,'[1]Unos prihoda i primitaka'!$C$3:$C$501,"=581",'[1]Unos prihoda i primitaka'!$L$3:$L$501,"=67")</f>
        <v>0</v>
      </c>
      <c r="T28" s="18">
        <f>SUMIFS('[1]Unos prihoda i primitaka'!$H$3:$H$501,'[1]Unos prihoda i primitaka'!$C$3:$C$501,"=61",'[1]Unos prihoda i primitaka'!$L$3:$L$501,"=67")</f>
        <v>0</v>
      </c>
      <c r="U28" s="18">
        <f>SUMIFS('[1]Unos prihoda i primitaka'!$H$3:$H$501,'[1]Unos prihoda i primitaka'!$C$3:$C$501,"=63",'[1]Unos prihoda i primitaka'!$L$3:$L$501,"=67")</f>
        <v>0</v>
      </c>
      <c r="V28" s="18">
        <f>SUMIFS('[1]Unos prihoda i primitaka'!$H$3:$H$501,'[1]Unos prihoda i primitaka'!$C$3:$C$501,"=71",'[1]Unos prihoda i primitaka'!$L$3:$L$501,"=67")</f>
        <v>0</v>
      </c>
    </row>
    <row r="29" spans="1:22" x14ac:dyDescent="0.25">
      <c r="A29" s="12">
        <v>2024</v>
      </c>
      <c r="B29" s="19" t="s">
        <v>39</v>
      </c>
      <c r="C29" s="20" t="s">
        <v>40</v>
      </c>
      <c r="D29" s="17">
        <f t="shared" si="5"/>
        <v>0</v>
      </c>
      <c r="E29" s="18">
        <f>SUMIFS('[1]Unos prihoda i primitaka'!$H$3:$H$501,'[1]Unos prihoda i primitaka'!$C$3:$C$501,"=11",'[1]Unos prihoda i primitaka'!$L$3:$L$501,"=68")</f>
        <v>0</v>
      </c>
      <c r="F29" s="18">
        <f>SUMIFS('[1]Unos prihoda i primitaka'!$H$3:$H$501,'[1]Unos prihoda i primitaka'!$C$3:$C$501,"=12",'[1]Unos prihoda i primitaka'!$L$3:$L$501,"=68")</f>
        <v>0</v>
      </c>
      <c r="G29" s="18">
        <f>SUMIFS('[1]Unos prihoda i primitaka'!$H$3:$H$501,'[1]Unos prihoda i primitaka'!$C$3:$C$501,"=31",'[1]Unos prihoda i primitaka'!$L$3:$L$501,"=68")</f>
        <v>0</v>
      </c>
      <c r="H29" s="18">
        <f>SUMIFS('[1]Unos prihoda i primitaka'!$H$3:$H$501,'[1]Unos prihoda i primitaka'!$C$3:$C$501,"=41",'[1]Unos prihoda i primitaka'!$L$3:$L$501,"=68")</f>
        <v>0</v>
      </c>
      <c r="I29" s="18">
        <f>SUMIFS('[1]Unos prihoda i primitaka'!$H$3:$H$501,'[1]Unos prihoda i primitaka'!$C$3:$C$501,"=43",'[1]Unos prihoda i primitaka'!$L$3:$L$501,"=68")</f>
        <v>0</v>
      </c>
      <c r="J29" s="18">
        <f>SUMIFS('[1]Unos prihoda i primitaka'!$H$3:$H$501,'[1]Unos prihoda i primitaka'!$C$3:$C$501,"=51",'[1]Unos prihoda i primitaka'!$L$3:$L$501,"=68")</f>
        <v>0</v>
      </c>
      <c r="K29" s="18">
        <f>SUMIFS('[1]Unos prihoda i primitaka'!$H$3:$H$501,'[1]Unos prihoda i primitaka'!$C$3:$C$501,"=52",'[1]Unos prihoda i primitaka'!$L$3:$L$501,"=68")</f>
        <v>0</v>
      </c>
      <c r="L29" s="18">
        <f>SUMIFS('[1]Unos prihoda i primitaka'!$H$3:$H$501,'[1]Unos prihoda i primitaka'!$C$3:$C$501,"=552",'[1]Unos prihoda i primitaka'!$L$3:$L$501,"=68")</f>
        <v>0</v>
      </c>
      <c r="M29" s="18">
        <f>SUMIFS('[1]Unos prihoda i primitaka'!$H$3:$H$501,'[1]Unos prihoda i primitaka'!$C$3:$C$501,"=559",'[1]Unos prihoda i primitaka'!$L$3:$L$501,"=68")</f>
        <v>0</v>
      </c>
      <c r="N29" s="18">
        <f>SUMIFS('[1]Unos prihoda i primitaka'!$H$3:$H$501,'[1]Unos prihoda i primitaka'!$C$3:$C$501,"=561",'[1]Unos prihoda i primitaka'!$L$3:$L$501,"=68")</f>
        <v>0</v>
      </c>
      <c r="O29" s="18">
        <f>SUMIFS('[1]Unos prihoda i primitaka'!$H$3:$H$501,'[1]Unos prihoda i primitaka'!$C$3:$C$501,"=563",'[1]Unos prihoda i primitaka'!$L$3:$L$501,"=68")</f>
        <v>0</v>
      </c>
      <c r="P29" s="18">
        <f>SUMIFS('[1]Unos prihoda i primitaka'!$H$3:$H$501,'[1]Unos prihoda i primitaka'!$C$3:$C$501,"=573",'[1]Unos prihoda i primitaka'!$L$3:$L$501,"=68")</f>
        <v>0</v>
      </c>
      <c r="Q29" s="18">
        <f>SUMIFS('[1]Unos prihoda i primitaka'!$H$3:$H$501,'[1]Unos prihoda i primitaka'!$C$3:$C$501,"=575",'[1]Unos prihoda i primitaka'!$L$3:$L$501,"=68")</f>
        <v>0</v>
      </c>
      <c r="R29" s="18">
        <f>SUMIFS('[1]Unos prihoda i primitaka'!$H$3:$H$501,'[1]Unos prihoda i primitaka'!$C$3:$C$501,"=576",'[1]Unos prihoda i primitaka'!$L$3:$L$501,"=68")</f>
        <v>0</v>
      </c>
      <c r="S29" s="18">
        <f>SUMIFS('[1]Unos prihoda i primitaka'!$H$3:$H$501,'[1]Unos prihoda i primitaka'!$C$3:$C$501,"=581",'[1]Unos prihoda i primitaka'!$L$3:$L$501,"=68")</f>
        <v>0</v>
      </c>
      <c r="T29" s="18">
        <f>SUMIFS('[1]Unos prihoda i primitaka'!$H$3:$H$501,'[1]Unos prihoda i primitaka'!$C$3:$C$501,"=61",'[1]Unos prihoda i primitaka'!$L$3:$L$501,"=68")</f>
        <v>0</v>
      </c>
      <c r="U29" s="18">
        <f>SUMIFS('[1]Unos prihoda i primitaka'!$H$3:$H$501,'[1]Unos prihoda i primitaka'!$C$3:$C$501,"=63",'[1]Unos prihoda i primitaka'!$L$3:$L$501,"=68")</f>
        <v>0</v>
      </c>
      <c r="V29" s="18">
        <f>SUMIFS('[1]Unos prihoda i primitaka'!$H$3:$H$501,'[1]Unos prihoda i primitaka'!$C$3:$C$501,"=71",'[1]Unos prihoda i primitaka'!$L$3:$L$501,"=68")</f>
        <v>0</v>
      </c>
    </row>
    <row r="30" spans="1:22" x14ac:dyDescent="0.25">
      <c r="A30" s="12">
        <v>2024</v>
      </c>
      <c r="B30" s="22" t="s">
        <v>41</v>
      </c>
      <c r="C30" s="23" t="s">
        <v>42</v>
      </c>
      <c r="D30" s="17">
        <f t="shared" si="5"/>
        <v>12041726</v>
      </c>
      <c r="E30" s="24">
        <f t="shared" ref="E30:V30" si="6">SUM(E23:E29)</f>
        <v>8216704</v>
      </c>
      <c r="F30" s="24">
        <f t="shared" si="6"/>
        <v>1319</v>
      </c>
      <c r="G30" s="24">
        <f t="shared" si="6"/>
        <v>292021</v>
      </c>
      <c r="H30" s="24">
        <f t="shared" si="6"/>
        <v>0</v>
      </c>
      <c r="I30" s="24">
        <f t="shared" si="6"/>
        <v>2807994</v>
      </c>
      <c r="J30" s="24">
        <f t="shared" si="6"/>
        <v>286111</v>
      </c>
      <c r="K30" s="24">
        <f t="shared" si="6"/>
        <v>430102</v>
      </c>
      <c r="L30" s="24">
        <f t="shared" si="6"/>
        <v>0</v>
      </c>
      <c r="M30" s="24">
        <f t="shared" si="6"/>
        <v>0</v>
      </c>
      <c r="N30" s="24">
        <f t="shared" si="6"/>
        <v>7475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</row>
    <row r="31" spans="1:22" x14ac:dyDescent="0.25">
      <c r="A31" s="12">
        <v>2024</v>
      </c>
      <c r="B31" s="19" t="s">
        <v>43</v>
      </c>
      <c r="C31" s="25" t="s">
        <v>44</v>
      </c>
      <c r="D31" s="17">
        <f t="shared" si="5"/>
        <v>0</v>
      </c>
      <c r="E31" s="18">
        <f>SUMIFS('[1]Unos prihoda i primitaka'!$H$3:$H$501,'[1]Unos prihoda i primitaka'!$C$3:$C$501,"=11",'[1]Unos prihoda i primitaka'!$L$3:$L$501,"=71")</f>
        <v>0</v>
      </c>
      <c r="F31" s="18">
        <f>SUMIFS('[1]Unos prihoda i primitaka'!$H$3:$H$501,'[1]Unos prihoda i primitaka'!$C$3:$C$501,"=12",'[1]Unos prihoda i primitaka'!$L$3:$L$501,"=71")</f>
        <v>0</v>
      </c>
      <c r="G31" s="18">
        <f>SUMIFS('[1]Unos prihoda i primitaka'!$H$3:$H$501,'[1]Unos prihoda i primitaka'!$C$3:$C$501,"=31",'[1]Unos prihoda i primitaka'!$L$3:$L$501,"=71")</f>
        <v>0</v>
      </c>
      <c r="H31" s="18">
        <f>SUMIFS('[1]Unos prihoda i primitaka'!$H$3:$H$501,'[1]Unos prihoda i primitaka'!$C$3:$C$501,"=41",'[1]Unos prihoda i primitaka'!$L$3:$L$501,"=71")</f>
        <v>0</v>
      </c>
      <c r="I31" s="18">
        <f>SUMIFS('[1]Unos prihoda i primitaka'!$H$3:$H$501,'[1]Unos prihoda i primitaka'!$C$3:$C$501,"=43",'[1]Unos prihoda i primitaka'!$L$3:$L$501,"=71")</f>
        <v>0</v>
      </c>
      <c r="J31" s="18">
        <f>SUMIFS('[1]Unos prihoda i primitaka'!$H$3:$H$501,'[1]Unos prihoda i primitaka'!$C$3:$C$501,"=51",'[1]Unos prihoda i primitaka'!$L$3:$L$501,"=71")</f>
        <v>0</v>
      </c>
      <c r="K31" s="18">
        <f>SUMIFS('[1]Unos prihoda i primitaka'!$H$3:$H$501,'[1]Unos prihoda i primitaka'!$C$3:$C$501,"=52",'[1]Unos prihoda i primitaka'!$L$3:$L$501,"=71")</f>
        <v>0</v>
      </c>
      <c r="L31" s="18">
        <f>SUMIFS('[1]Unos prihoda i primitaka'!$H$3:$H$501,'[1]Unos prihoda i primitaka'!$C$3:$C$501,"=552",'[1]Unos prihoda i primitaka'!$L$3:$L$501,"=71")</f>
        <v>0</v>
      </c>
      <c r="M31" s="18">
        <f>SUMIFS('[1]Unos prihoda i primitaka'!$H$3:$H$501,'[1]Unos prihoda i primitaka'!$C$3:$C$501,"=559",'[1]Unos prihoda i primitaka'!$L$3:$L$501,"=71")</f>
        <v>0</v>
      </c>
      <c r="N31" s="18">
        <f>SUMIFS('[1]Unos prihoda i primitaka'!$H$3:$H$501,'[1]Unos prihoda i primitaka'!$C$3:$C$501,"=561",'[1]Unos prihoda i primitaka'!$L$3:$L$501,"=71")</f>
        <v>0</v>
      </c>
      <c r="O31" s="18">
        <f>SUMIFS('[1]Unos prihoda i primitaka'!$H$3:$H$501,'[1]Unos prihoda i primitaka'!$C$3:$C$501,"=563",'[1]Unos prihoda i primitaka'!$L$3:$L$501,"=71")</f>
        <v>0</v>
      </c>
      <c r="P31" s="18">
        <f>SUMIFS('[1]Unos prihoda i primitaka'!$H$3:$H$501,'[1]Unos prihoda i primitaka'!$C$3:$C$501,"=573",'[1]Unos prihoda i primitaka'!$L$3:$L$501,"=71")</f>
        <v>0</v>
      </c>
      <c r="Q31" s="18">
        <f>SUMIFS('[1]Unos prihoda i primitaka'!$H$3:$H$501,'[1]Unos prihoda i primitaka'!$C$3:$C$501,"=575",'[1]Unos prihoda i primitaka'!$L$3:$L$501,"=71")</f>
        <v>0</v>
      </c>
      <c r="R31" s="18">
        <f>SUMIFS('[1]Unos prihoda i primitaka'!$H$3:$H$501,'[1]Unos prihoda i primitaka'!$C$3:$C$501,"=576",'[1]Unos prihoda i primitaka'!$L$3:$L$501,"=71")</f>
        <v>0</v>
      </c>
      <c r="S31" s="18">
        <f>SUMIFS('[1]Unos prihoda i primitaka'!$H$3:$H$501,'[1]Unos prihoda i primitaka'!$C$3:$C$501,"=581",'[1]Unos prihoda i primitaka'!$L$3:$L$501,"=71")</f>
        <v>0</v>
      </c>
      <c r="T31" s="18">
        <f>SUMIFS('[1]Unos prihoda i primitaka'!$H$3:$H$501,'[1]Unos prihoda i primitaka'!$C$3:$C$501,"=61",'[1]Unos prihoda i primitaka'!$L$3:$L$501,"=71")</f>
        <v>0</v>
      </c>
      <c r="U31" s="18">
        <f>SUMIFS('[1]Unos prihoda i primitaka'!$H$3:$H$501,'[1]Unos prihoda i primitaka'!$C$3:$C$501,"=63",'[1]Unos prihoda i primitaka'!$L$3:$L$501,"=71")</f>
        <v>0</v>
      </c>
      <c r="V31" s="18">
        <f>SUMIFS('[1]Unos prihoda i primitaka'!$H$3:$H$501,'[1]Unos prihoda i primitaka'!$C$3:$C$501,"=71",'[1]Unos prihoda i primitaka'!$L$3:$L$501,"=71")</f>
        <v>0</v>
      </c>
    </row>
    <row r="32" spans="1:22" x14ac:dyDescent="0.25">
      <c r="A32" s="12">
        <v>2024</v>
      </c>
      <c r="B32" s="19" t="s">
        <v>45</v>
      </c>
      <c r="C32" s="25" t="s">
        <v>46</v>
      </c>
      <c r="D32" s="17">
        <f t="shared" si="5"/>
        <v>0</v>
      </c>
      <c r="E32" s="18">
        <f>SUMIFS('[1]Unos prihoda i primitaka'!$H$3:$H$501,'[1]Unos prihoda i primitaka'!$C$3:$C$501,"=11",'[1]Unos prihoda i primitaka'!$L$3:$L$501,"=72")</f>
        <v>0</v>
      </c>
      <c r="F32" s="18">
        <f>SUMIFS('[1]Unos prihoda i primitaka'!$H$3:$H$501,'[1]Unos prihoda i primitaka'!$C$3:$C$501,"=12",'[1]Unos prihoda i primitaka'!$L$3:$L$501,"=72")</f>
        <v>0</v>
      </c>
      <c r="G32" s="18">
        <f>SUMIFS('[1]Unos prihoda i primitaka'!$H$3:$H$501,'[1]Unos prihoda i primitaka'!$C$3:$C$501,"=31",'[1]Unos prihoda i primitaka'!$L$3:$L$501,"=72")</f>
        <v>0</v>
      </c>
      <c r="H32" s="18">
        <f>SUMIFS('[1]Unos prihoda i primitaka'!$H$3:$H$501,'[1]Unos prihoda i primitaka'!$C$3:$C$501,"=41",'[1]Unos prihoda i primitaka'!$L$3:$L$501,"=72")</f>
        <v>0</v>
      </c>
      <c r="I32" s="18">
        <f>SUMIFS('[1]Unos prihoda i primitaka'!$H$3:$H$501,'[1]Unos prihoda i primitaka'!$C$3:$C$501,"=43",'[1]Unos prihoda i primitaka'!$L$3:$L$501,"=72")</f>
        <v>0</v>
      </c>
      <c r="J32" s="18">
        <f>SUMIFS('[1]Unos prihoda i primitaka'!$H$3:$H$501,'[1]Unos prihoda i primitaka'!$C$3:$C$501,"=51",'[1]Unos prihoda i primitaka'!$L$3:$L$501,"=72")</f>
        <v>0</v>
      </c>
      <c r="K32" s="18">
        <f>SUMIFS('[1]Unos prihoda i primitaka'!$H$3:$H$501,'[1]Unos prihoda i primitaka'!$C$3:$C$501,"=52",'[1]Unos prihoda i primitaka'!$L$3:$L$501,"=72")</f>
        <v>0</v>
      </c>
      <c r="L32" s="18">
        <f>SUMIFS('[1]Unos prihoda i primitaka'!$H$3:$H$501,'[1]Unos prihoda i primitaka'!$C$3:$C$501,"=552",'[1]Unos prihoda i primitaka'!$L$3:$L$501,"=72")</f>
        <v>0</v>
      </c>
      <c r="M32" s="18">
        <f>SUMIFS('[1]Unos prihoda i primitaka'!$H$3:$H$501,'[1]Unos prihoda i primitaka'!$C$3:$C$501,"=559",'[1]Unos prihoda i primitaka'!$L$3:$L$501,"=72")</f>
        <v>0</v>
      </c>
      <c r="N32" s="18">
        <f>SUMIFS('[1]Unos prihoda i primitaka'!$H$3:$H$501,'[1]Unos prihoda i primitaka'!$C$3:$C$501,"=561",'[1]Unos prihoda i primitaka'!$L$3:$L$501,"=72")</f>
        <v>0</v>
      </c>
      <c r="O32" s="18">
        <f>SUMIFS('[1]Unos prihoda i primitaka'!$H$3:$H$501,'[1]Unos prihoda i primitaka'!$C$3:$C$501,"=563",'[1]Unos prihoda i primitaka'!$L$3:$L$501,"=72")</f>
        <v>0</v>
      </c>
      <c r="P32" s="18">
        <f>SUMIFS('[1]Unos prihoda i primitaka'!$H$3:$H$501,'[1]Unos prihoda i primitaka'!$C$3:$C$501,"=573",'[1]Unos prihoda i primitaka'!$L$3:$L$501,"=72")</f>
        <v>0</v>
      </c>
      <c r="Q32" s="18">
        <f>SUMIFS('[1]Unos prihoda i primitaka'!$H$3:$H$501,'[1]Unos prihoda i primitaka'!$C$3:$C$501,"=575",'[1]Unos prihoda i primitaka'!$L$3:$L$501,"=72")</f>
        <v>0</v>
      </c>
      <c r="R32" s="18">
        <f>SUMIFS('[1]Unos prihoda i primitaka'!$H$3:$H$501,'[1]Unos prihoda i primitaka'!$C$3:$C$501,"=576",'[1]Unos prihoda i primitaka'!$L$3:$L$501,"=72")</f>
        <v>0</v>
      </c>
      <c r="S32" s="18">
        <f>SUMIFS('[1]Unos prihoda i primitaka'!$H$3:$H$501,'[1]Unos prihoda i primitaka'!$C$3:$C$501,"=581",'[1]Unos prihoda i primitaka'!$L$3:$L$501,"=72")</f>
        <v>0</v>
      </c>
      <c r="T32" s="18">
        <f>SUMIFS('[1]Unos prihoda i primitaka'!$H$3:$H$501,'[1]Unos prihoda i primitaka'!$C$3:$C$501,"=61",'[1]Unos prihoda i primitaka'!$L$3:$L$501,"=72")</f>
        <v>0</v>
      </c>
      <c r="U32" s="18">
        <f>SUMIFS('[1]Unos prihoda i primitaka'!$H$3:$H$501,'[1]Unos prihoda i primitaka'!$C$3:$C$501,"=63",'[1]Unos prihoda i primitaka'!$L$3:$L$501,"=72")</f>
        <v>0</v>
      </c>
      <c r="V32" s="18">
        <f>SUMIFS('[1]Unos prihoda i primitaka'!$H$3:$H$501,'[1]Unos prihoda i primitaka'!$C$3:$C$501,"=71",'[1]Unos prihoda i primitaka'!$L$3:$L$501,"=72")</f>
        <v>0</v>
      </c>
    </row>
    <row r="33" spans="1:22" x14ac:dyDescent="0.25">
      <c r="A33" s="12">
        <v>2024</v>
      </c>
      <c r="B33" s="22" t="s">
        <v>47</v>
      </c>
      <c r="C33" s="23" t="s">
        <v>42</v>
      </c>
      <c r="D33" s="17">
        <f t="shared" si="5"/>
        <v>0</v>
      </c>
      <c r="E33" s="24">
        <f t="shared" ref="E33:V33" si="7">SUM(E31:E32)</f>
        <v>0</v>
      </c>
      <c r="F33" s="24">
        <f t="shared" si="7"/>
        <v>0</v>
      </c>
      <c r="G33" s="24">
        <f t="shared" si="7"/>
        <v>0</v>
      </c>
      <c r="H33" s="24">
        <f t="shared" si="7"/>
        <v>0</v>
      </c>
      <c r="I33" s="24">
        <f t="shared" si="7"/>
        <v>0</v>
      </c>
      <c r="J33" s="24">
        <f t="shared" si="7"/>
        <v>0</v>
      </c>
      <c r="K33" s="24">
        <f t="shared" si="7"/>
        <v>0</v>
      </c>
      <c r="L33" s="24">
        <f t="shared" si="7"/>
        <v>0</v>
      </c>
      <c r="M33" s="24">
        <f t="shared" si="7"/>
        <v>0</v>
      </c>
      <c r="N33" s="24">
        <f t="shared" si="7"/>
        <v>0</v>
      </c>
      <c r="O33" s="24">
        <f t="shared" si="7"/>
        <v>0</v>
      </c>
      <c r="P33" s="24">
        <f t="shared" si="7"/>
        <v>0</v>
      </c>
      <c r="Q33" s="24">
        <f t="shared" si="7"/>
        <v>0</v>
      </c>
      <c r="R33" s="24">
        <f t="shared" si="7"/>
        <v>0</v>
      </c>
      <c r="S33" s="24">
        <f t="shared" si="7"/>
        <v>0</v>
      </c>
      <c r="T33" s="24">
        <f t="shared" si="7"/>
        <v>0</v>
      </c>
      <c r="U33" s="24">
        <f t="shared" si="7"/>
        <v>0</v>
      </c>
      <c r="V33" s="24">
        <f t="shared" si="7"/>
        <v>0</v>
      </c>
    </row>
    <row r="34" spans="1:22" x14ac:dyDescent="0.25">
      <c r="A34" s="1"/>
      <c r="B34" s="26"/>
      <c r="C34" s="26"/>
      <c r="D34" s="26"/>
      <c r="E34" s="26"/>
      <c r="F34" s="26"/>
      <c r="G34" s="26"/>
      <c r="H34" s="26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4"/>
      <c r="T34" s="1"/>
      <c r="U34" s="1"/>
      <c r="V34" s="1"/>
    </row>
    <row r="35" spans="1:22" ht="89.25" x14ac:dyDescent="0.25">
      <c r="A35" s="6" t="s">
        <v>4</v>
      </c>
      <c r="B35" s="7" t="s">
        <v>5</v>
      </c>
      <c r="C35" s="7" t="s">
        <v>6</v>
      </c>
      <c r="D35" s="8" t="s">
        <v>7</v>
      </c>
      <c r="E35" s="29" t="s">
        <v>8</v>
      </c>
      <c r="F35" s="29" t="s">
        <v>9</v>
      </c>
      <c r="G35" s="30" t="s">
        <v>10</v>
      </c>
      <c r="H35" s="30" t="s">
        <v>11</v>
      </c>
      <c r="I35" s="30" t="s">
        <v>12</v>
      </c>
      <c r="J35" s="30" t="s">
        <v>13</v>
      </c>
      <c r="K35" s="30" t="s">
        <v>14</v>
      </c>
      <c r="L35" s="30" t="s">
        <v>15</v>
      </c>
      <c r="M35" s="30" t="s">
        <v>16</v>
      </c>
      <c r="N35" s="30" t="s">
        <v>17</v>
      </c>
      <c r="O35" s="30" t="s">
        <v>18</v>
      </c>
      <c r="P35" s="30" t="s">
        <v>19</v>
      </c>
      <c r="Q35" s="30" t="s">
        <v>20</v>
      </c>
      <c r="R35" s="30" t="s">
        <v>21</v>
      </c>
      <c r="S35" s="11" t="s">
        <v>22</v>
      </c>
      <c r="T35" s="11" t="s">
        <v>23</v>
      </c>
      <c r="U35" s="11" t="s">
        <v>24</v>
      </c>
      <c r="V35" s="11" t="s">
        <v>25</v>
      </c>
    </row>
    <row r="36" spans="1:22" ht="21" x14ac:dyDescent="0.25">
      <c r="A36" s="12">
        <v>2025</v>
      </c>
      <c r="B36" s="13">
        <v>2025</v>
      </c>
      <c r="C36" s="13" t="s">
        <v>26</v>
      </c>
      <c r="D36" s="14">
        <f t="shared" ref="D36:D47" si="8">SUM(E36:V36)</f>
        <v>11543125</v>
      </c>
      <c r="E36" s="14">
        <f t="shared" ref="E36:V36" si="9">+E47+E44</f>
        <v>8200777</v>
      </c>
      <c r="F36" s="14">
        <f t="shared" si="9"/>
        <v>0</v>
      </c>
      <c r="G36" s="14">
        <f t="shared" si="9"/>
        <v>292021</v>
      </c>
      <c r="H36" s="14">
        <f t="shared" si="9"/>
        <v>0</v>
      </c>
      <c r="I36" s="14">
        <f t="shared" si="9"/>
        <v>2807994</v>
      </c>
      <c r="J36" s="14">
        <f t="shared" si="9"/>
        <v>0</v>
      </c>
      <c r="K36" s="14">
        <f t="shared" si="9"/>
        <v>196877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4">
        <f t="shared" si="9"/>
        <v>0</v>
      </c>
      <c r="R36" s="14">
        <f t="shared" si="9"/>
        <v>0</v>
      </c>
      <c r="S36" s="14">
        <f t="shared" si="9"/>
        <v>0</v>
      </c>
      <c r="T36" s="14">
        <f t="shared" si="9"/>
        <v>45456</v>
      </c>
      <c r="U36" s="14">
        <f t="shared" si="9"/>
        <v>0</v>
      </c>
      <c r="V36" s="14">
        <f t="shared" si="9"/>
        <v>0</v>
      </c>
    </row>
    <row r="37" spans="1:22" x14ac:dyDescent="0.25">
      <c r="A37" s="12">
        <v>2025</v>
      </c>
      <c r="B37" s="15" t="s">
        <v>27</v>
      </c>
      <c r="C37" s="16" t="s">
        <v>28</v>
      </c>
      <c r="D37" s="17">
        <f t="shared" si="8"/>
        <v>0</v>
      </c>
      <c r="E37" s="18">
        <f>SUMIFS('[1]Unos prihoda i primitaka'!$I$3:$I$501,'[1]Unos prihoda i primitaka'!$C$3:$C$501,"=11",'[1]Unos prihoda i primitaka'!$L$3:$L$501,"=61")</f>
        <v>0</v>
      </c>
      <c r="F37" s="18">
        <f>SUMIFS('[1]Unos prihoda i primitaka'!$I$3:$I$501,'[1]Unos prihoda i primitaka'!$C$3:$C$501,"=12",'[1]Unos prihoda i primitaka'!$L$3:$L$501,"=61")</f>
        <v>0</v>
      </c>
      <c r="G37" s="18">
        <f>SUMIFS('[1]Unos prihoda i primitaka'!$I$3:$I$501,'[1]Unos prihoda i primitaka'!$C$3:$C$501,"=31",'[1]Unos prihoda i primitaka'!$L$3:$L$501,"=61")</f>
        <v>0</v>
      </c>
      <c r="H37" s="18">
        <f>SUMIFS('[1]Unos prihoda i primitaka'!$I$3:$I$501,'[1]Unos prihoda i primitaka'!$C$3:$C$501,"=41",'[1]Unos prihoda i primitaka'!$L$3:$L$501,"=61")</f>
        <v>0</v>
      </c>
      <c r="I37" s="18">
        <f>SUMIFS('[1]Unos prihoda i primitaka'!$I$3:$I$501,'[1]Unos prihoda i primitaka'!$C$3:$C$501,"=43",'[1]Unos prihoda i primitaka'!$L$3:$L$501,"=61")</f>
        <v>0</v>
      </c>
      <c r="J37" s="18">
        <f>SUMIFS('[1]Unos prihoda i primitaka'!$I$3:$I$501,'[1]Unos prihoda i primitaka'!$C$3:$C$501,"=51",'[1]Unos prihoda i primitaka'!$L$3:$L$501,"=61")</f>
        <v>0</v>
      </c>
      <c r="K37" s="18">
        <f>SUMIFS('[1]Unos prihoda i primitaka'!$I$3:$I$501,'[1]Unos prihoda i primitaka'!$C$3:$C$501,"=52",'[1]Unos prihoda i primitaka'!$L$3:$L$501,"=61")</f>
        <v>0</v>
      </c>
      <c r="L37" s="18">
        <f>SUMIFS('[1]Unos prihoda i primitaka'!$I$3:$I$501,'[1]Unos prihoda i primitaka'!$C$3:$C$501,"=552",'[1]Unos prihoda i primitaka'!$L$3:$L$501,"=61")</f>
        <v>0</v>
      </c>
      <c r="M37" s="18">
        <f>SUMIFS('[1]Unos prihoda i primitaka'!$I$3:$I$501,'[1]Unos prihoda i primitaka'!$C$3:$C$501,"=559",'[1]Unos prihoda i primitaka'!$L$3:$L$501,"=61")</f>
        <v>0</v>
      </c>
      <c r="N37" s="18">
        <f>SUMIFS('[1]Unos prihoda i primitaka'!$I$3:$I$501,'[1]Unos prihoda i primitaka'!$C$3:$C$501,"=561",'[1]Unos prihoda i primitaka'!$L$3:$L$501,"=61")</f>
        <v>0</v>
      </c>
      <c r="O37" s="18">
        <f>SUMIFS('[1]Unos prihoda i primitaka'!$I$3:$I$501,'[1]Unos prihoda i primitaka'!$C$3:$C$501,"=563",'[1]Unos prihoda i primitaka'!$L$3:$L$501,"=61")</f>
        <v>0</v>
      </c>
      <c r="P37" s="18">
        <f>SUMIFS('[1]Unos prihoda i primitaka'!$I$3:$I$501,'[1]Unos prihoda i primitaka'!$C$3:$C$501,"=573",'[1]Unos prihoda i primitaka'!$L$3:$L$501,"=61")</f>
        <v>0</v>
      </c>
      <c r="Q37" s="18">
        <f>SUMIFS('[1]Unos prihoda i primitaka'!$I$3:$I$501,'[1]Unos prihoda i primitaka'!$C$3:$C$501,"=575",'[1]Unos prihoda i primitaka'!$L$3:$L$501,"=61")</f>
        <v>0</v>
      </c>
      <c r="R37" s="18">
        <f>SUMIFS('[1]Unos prihoda i primitaka'!$I$3:$I$501,'[1]Unos prihoda i primitaka'!$C$3:$C$501,"=576",'[1]Unos prihoda i primitaka'!$L$3:$L$501,"=61")</f>
        <v>0</v>
      </c>
      <c r="S37" s="18">
        <f>SUMIFS('[1]Unos prihoda i primitaka'!$I$3:$I$501,'[1]Unos prihoda i primitaka'!$C$3:$C$501,"=581",'[1]Unos prihoda i primitaka'!$L$3:$L$501,"=61")</f>
        <v>0</v>
      </c>
      <c r="T37" s="18">
        <f>SUMIFS('[1]Unos prihoda i primitaka'!$I$3:$I$501,'[1]Unos prihoda i primitaka'!$C$3:$C$501,"=61",'[1]Unos prihoda i primitaka'!$L$3:$L$501,"=61")</f>
        <v>0</v>
      </c>
      <c r="U37" s="18">
        <f>SUMIFS('[1]Unos prihoda i primitaka'!$I$3:$I$501,'[1]Unos prihoda i primitaka'!$C$3:$C$501,"=63",'[1]Unos prihoda i primitaka'!$L$3:$L$501,"=61")</f>
        <v>0</v>
      </c>
      <c r="V37" s="18">
        <f>SUMIFS('[1]Unos prihoda i primitaka'!$I$3:$I$501,'[1]Unos prihoda i primitaka'!$C$3:$C$501,"=71",'[1]Unos prihoda i primitaka'!$L$3:$L$501,"=61")</f>
        <v>0</v>
      </c>
    </row>
    <row r="38" spans="1:22" ht="25.5" x14ac:dyDescent="0.25">
      <c r="A38" s="12">
        <v>2025</v>
      </c>
      <c r="B38" s="15" t="s">
        <v>29</v>
      </c>
      <c r="C38" s="16" t="s">
        <v>30</v>
      </c>
      <c r="D38" s="17">
        <f t="shared" si="8"/>
        <v>196877</v>
      </c>
      <c r="E38" s="18">
        <f>SUMIFS('[1]Unos prihoda i primitaka'!$I$3:$I$501,'[1]Unos prihoda i primitaka'!$C$3:$C$501,"=11",'[1]Unos prihoda i primitaka'!$L$3:$L$501,"=63")</f>
        <v>0</v>
      </c>
      <c r="F38" s="18">
        <f>SUMIFS('[1]Unos prihoda i primitaka'!$I$3:$I$501,'[1]Unos prihoda i primitaka'!$C$3:$C$501,"=12",'[1]Unos prihoda i primitaka'!$L$3:$L$501,"=63")</f>
        <v>0</v>
      </c>
      <c r="G38" s="18">
        <f>SUMIFS('[1]Unos prihoda i primitaka'!$I$3:$I$501,'[1]Unos prihoda i primitaka'!$C$3:$C$501,"=31",'[1]Unos prihoda i primitaka'!$L$3:$L$501,"=63")</f>
        <v>0</v>
      </c>
      <c r="H38" s="18">
        <f>SUMIFS('[1]Unos prihoda i primitaka'!$I$3:$I$501,'[1]Unos prihoda i primitaka'!$C$3:$C$501,"=41",'[1]Unos prihoda i primitaka'!$L$3:$L$501,"=63")</f>
        <v>0</v>
      </c>
      <c r="I38" s="18">
        <f>SUMIFS('[1]Unos prihoda i primitaka'!$I$3:$I$501,'[1]Unos prihoda i primitaka'!$C$3:$C$501,"=43",'[1]Unos prihoda i primitaka'!$L$3:$L$501,"=63")</f>
        <v>0</v>
      </c>
      <c r="J38" s="18">
        <f>SUMIFS('[1]Unos prihoda i primitaka'!$I$3:$I$501,'[1]Unos prihoda i primitaka'!$C$3:$C$501,"=51",'[1]Unos prihoda i primitaka'!$L$3:$L$501,"=63")</f>
        <v>0</v>
      </c>
      <c r="K38" s="18">
        <f>SUMIFS('[1]Unos prihoda i primitaka'!$I$3:$I$501,'[1]Unos prihoda i primitaka'!$C$3:$C$501,"=52",'[1]Unos prihoda i primitaka'!$L$3:$L$501,"=63")</f>
        <v>196877</v>
      </c>
      <c r="L38" s="18">
        <f>SUMIFS('[1]Unos prihoda i primitaka'!$I$3:$I$501,'[1]Unos prihoda i primitaka'!$C$3:$C$501,"=552",'[1]Unos prihoda i primitaka'!$L$3:$L$501,"=63")</f>
        <v>0</v>
      </c>
      <c r="M38" s="18">
        <f>SUMIFS('[1]Unos prihoda i primitaka'!$I$3:$I$501,'[1]Unos prihoda i primitaka'!$C$3:$C$501,"=559",'[1]Unos prihoda i primitaka'!$L$3:$L$501,"=63")</f>
        <v>0</v>
      </c>
      <c r="N38" s="18">
        <f>SUMIFS('[1]Unos prihoda i primitaka'!$I$3:$I$501,'[1]Unos prihoda i primitaka'!$C$3:$C$501,"=561",'[1]Unos prihoda i primitaka'!$L$3:$L$501,"=63")</f>
        <v>0</v>
      </c>
      <c r="O38" s="18">
        <f>SUMIFS('[1]Unos prihoda i primitaka'!$I$3:$I$501,'[1]Unos prihoda i primitaka'!$C$3:$C$501,"=563",'[1]Unos prihoda i primitaka'!$L$3:$L$501,"=63")</f>
        <v>0</v>
      </c>
      <c r="P38" s="18">
        <f>SUMIFS('[1]Unos prihoda i primitaka'!$I$3:$I$501,'[1]Unos prihoda i primitaka'!$C$3:$C$501,"=573",'[1]Unos prihoda i primitaka'!$L$3:$L$501,"=63")</f>
        <v>0</v>
      </c>
      <c r="Q38" s="18">
        <f>SUMIFS('[1]Unos prihoda i primitaka'!$I$3:$I$501,'[1]Unos prihoda i primitaka'!$C$3:$C$501,"=575",'[1]Unos prihoda i primitaka'!$L$3:$L$501,"=63")</f>
        <v>0</v>
      </c>
      <c r="R38" s="18">
        <f>SUMIFS('[1]Unos prihoda i primitaka'!$I$3:$I$501,'[1]Unos prihoda i primitaka'!$C$3:$C$501,"=576",'[1]Unos prihoda i primitaka'!$L$3:$L$501,"=63")</f>
        <v>0</v>
      </c>
      <c r="S38" s="18">
        <f>SUMIFS('[1]Unos prihoda i primitaka'!$I$3:$I$501,'[1]Unos prihoda i primitaka'!$C$3:$C$501,"=581",'[1]Unos prihoda i primitaka'!$L$3:$L$501,"=63")</f>
        <v>0</v>
      </c>
      <c r="T38" s="18">
        <f>SUMIFS('[1]Unos prihoda i primitaka'!$I$3:$I$501,'[1]Unos prihoda i primitaka'!$C$3:$C$501,"=61",'[1]Unos prihoda i primitaka'!$L$3:$L$501,"=63")</f>
        <v>0</v>
      </c>
      <c r="U38" s="18">
        <f>SUMIFS('[1]Unos prihoda i primitaka'!$I$3:$I$501,'[1]Unos prihoda i primitaka'!$C$3:$C$501,"=63",'[1]Unos prihoda i primitaka'!$L$3:$L$501,"=63")</f>
        <v>0</v>
      </c>
      <c r="V38" s="18">
        <f>SUMIFS('[1]Unos prihoda i primitaka'!$I$3:$I$501,'[1]Unos prihoda i primitaka'!$C$3:$C$501,"=71",'[1]Unos prihoda i primitaka'!$L$3:$L$501,"=63")</f>
        <v>0</v>
      </c>
    </row>
    <row r="39" spans="1:22" x14ac:dyDescent="0.25">
      <c r="A39" s="12">
        <v>2025</v>
      </c>
      <c r="B39" s="19" t="s">
        <v>31</v>
      </c>
      <c r="C39" s="20" t="s">
        <v>32</v>
      </c>
      <c r="D39" s="17">
        <f t="shared" si="8"/>
        <v>0</v>
      </c>
      <c r="E39" s="18">
        <f>SUMIFS('[1]Unos prihoda i primitaka'!$I$3:$I$501,'[1]Unos prihoda i primitaka'!$C$3:$C$501,"=11",'[1]Unos prihoda i primitaka'!$L$3:$L$501,"=64")</f>
        <v>0</v>
      </c>
      <c r="F39" s="18">
        <f>SUMIFS('[1]Unos prihoda i primitaka'!$I$3:$I$501,'[1]Unos prihoda i primitaka'!$C$3:$C$501,"=12",'[1]Unos prihoda i primitaka'!$L$3:$L$501,"=64")</f>
        <v>0</v>
      </c>
      <c r="G39" s="18">
        <f>SUMIFS('[1]Unos prihoda i primitaka'!$I$3:$I$501,'[1]Unos prihoda i primitaka'!$C$3:$C$501,"=31",'[1]Unos prihoda i primitaka'!$L$3:$L$501,"=64")</f>
        <v>0</v>
      </c>
      <c r="H39" s="18">
        <f>SUMIFS('[1]Unos prihoda i primitaka'!$I$3:$I$501,'[1]Unos prihoda i primitaka'!$C$3:$C$501,"=41",'[1]Unos prihoda i primitaka'!$L$3:$L$501,"=64")</f>
        <v>0</v>
      </c>
      <c r="I39" s="18">
        <f>SUMIFS('[1]Unos prihoda i primitaka'!$I$3:$I$501,'[1]Unos prihoda i primitaka'!$C$3:$C$501,"=43",'[1]Unos prihoda i primitaka'!$L$3:$L$501,"=64")</f>
        <v>0</v>
      </c>
      <c r="J39" s="18">
        <f>SUMIFS('[1]Unos prihoda i primitaka'!$I$3:$I$501,'[1]Unos prihoda i primitaka'!$C$3:$C$501,"=51",'[1]Unos prihoda i primitaka'!$L$3:$L$501,"=64")</f>
        <v>0</v>
      </c>
      <c r="K39" s="18">
        <f>SUMIFS('[1]Unos prihoda i primitaka'!$I$3:$I$501,'[1]Unos prihoda i primitaka'!$C$3:$C$501,"=52",'[1]Unos prihoda i primitaka'!$L$3:$L$501,"=64")</f>
        <v>0</v>
      </c>
      <c r="L39" s="18">
        <f>SUMIFS('[1]Unos prihoda i primitaka'!$I$3:$I$501,'[1]Unos prihoda i primitaka'!$C$3:$C$501,"=552",'[1]Unos prihoda i primitaka'!$L$3:$L$501,"=64")</f>
        <v>0</v>
      </c>
      <c r="M39" s="18">
        <f>SUMIFS('[1]Unos prihoda i primitaka'!$I$3:$I$501,'[1]Unos prihoda i primitaka'!$C$3:$C$501,"=559",'[1]Unos prihoda i primitaka'!$L$3:$L$501,"=64")</f>
        <v>0</v>
      </c>
      <c r="N39" s="18">
        <f>SUMIFS('[1]Unos prihoda i primitaka'!$I$3:$I$501,'[1]Unos prihoda i primitaka'!$C$3:$C$501,"=561",'[1]Unos prihoda i primitaka'!$L$3:$L$501,"=64")</f>
        <v>0</v>
      </c>
      <c r="O39" s="18">
        <f>SUMIFS('[1]Unos prihoda i primitaka'!$I$3:$I$501,'[1]Unos prihoda i primitaka'!$C$3:$C$501,"=563",'[1]Unos prihoda i primitaka'!$L$3:$L$501,"=64")</f>
        <v>0</v>
      </c>
      <c r="P39" s="18">
        <f>SUMIFS('[1]Unos prihoda i primitaka'!$I$3:$I$501,'[1]Unos prihoda i primitaka'!$C$3:$C$501,"=573",'[1]Unos prihoda i primitaka'!$L$3:$L$501,"=64")</f>
        <v>0</v>
      </c>
      <c r="Q39" s="18">
        <f>SUMIFS('[1]Unos prihoda i primitaka'!$I$3:$I$501,'[1]Unos prihoda i primitaka'!$C$3:$C$501,"=575",'[1]Unos prihoda i primitaka'!$L$3:$L$501,"=64")</f>
        <v>0</v>
      </c>
      <c r="R39" s="18">
        <f>SUMIFS('[1]Unos prihoda i primitaka'!$I$3:$I$501,'[1]Unos prihoda i primitaka'!$C$3:$C$501,"=576",'[1]Unos prihoda i primitaka'!$L$3:$L$501,"=64")</f>
        <v>0</v>
      </c>
      <c r="S39" s="18">
        <f>SUMIFS('[1]Unos prihoda i primitaka'!$I$3:$I$501,'[1]Unos prihoda i primitaka'!$C$3:$C$501,"=581",'[1]Unos prihoda i primitaka'!$L$3:$L$501,"=64")</f>
        <v>0</v>
      </c>
      <c r="T39" s="18">
        <f>SUMIFS('[1]Unos prihoda i primitaka'!$I$3:$I$501,'[1]Unos prihoda i primitaka'!$C$3:$C$501,"=61",'[1]Unos prihoda i primitaka'!$L$3:$L$501,"=64")</f>
        <v>0</v>
      </c>
      <c r="U39" s="18">
        <f>SUMIFS('[1]Unos prihoda i primitaka'!$I$3:$I$501,'[1]Unos prihoda i primitaka'!$C$3:$C$501,"=63",'[1]Unos prihoda i primitaka'!$L$3:$L$501,"=64")</f>
        <v>0</v>
      </c>
      <c r="V39" s="18">
        <f>SUMIFS('[1]Unos prihoda i primitaka'!$I$3:$I$501,'[1]Unos prihoda i primitaka'!$C$3:$C$501,"=71",'[1]Unos prihoda i primitaka'!$L$3:$L$501,"=64")</f>
        <v>0</v>
      </c>
    </row>
    <row r="40" spans="1:22" ht="25.5" x14ac:dyDescent="0.25">
      <c r="A40" s="12">
        <v>2025</v>
      </c>
      <c r="B40" s="19" t="s">
        <v>33</v>
      </c>
      <c r="C40" s="20" t="s">
        <v>34</v>
      </c>
      <c r="D40" s="17">
        <f t="shared" si="8"/>
        <v>2807994</v>
      </c>
      <c r="E40" s="18">
        <f>SUMIFS('[1]Unos prihoda i primitaka'!$I$3:$I$501,'[1]Unos prihoda i primitaka'!$C$3:$C$501,"=11",'[1]Unos prihoda i primitaka'!$L$3:$L$501,"=65")</f>
        <v>0</v>
      </c>
      <c r="F40" s="18">
        <f>SUMIFS('[1]Unos prihoda i primitaka'!$I$3:$I$501,'[1]Unos prihoda i primitaka'!$C$3:$C$501,"=12",'[1]Unos prihoda i primitaka'!$L$3:$L$501,"=65")</f>
        <v>0</v>
      </c>
      <c r="G40" s="18">
        <f>SUMIFS('[1]Unos prihoda i primitaka'!$I$3:$I$501,'[1]Unos prihoda i primitaka'!$C$3:$C$501,"=31",'[1]Unos prihoda i primitaka'!$L$3:$L$501,"=65")</f>
        <v>0</v>
      </c>
      <c r="H40" s="18">
        <f>SUMIFS('[1]Unos prihoda i primitaka'!$I$3:$I$501,'[1]Unos prihoda i primitaka'!$C$3:$C$501,"=41",'[1]Unos prihoda i primitaka'!$L$3:$L$501,"=65")</f>
        <v>0</v>
      </c>
      <c r="I40" s="18">
        <f>SUMIFS('[1]Unos prihoda i primitaka'!$I$3:$I$501,'[1]Unos prihoda i primitaka'!$C$3:$C$501,"=43",'[1]Unos prihoda i primitaka'!$L$3:$L$501,"=65")</f>
        <v>2807994</v>
      </c>
      <c r="J40" s="18">
        <f>SUMIFS('[1]Unos prihoda i primitaka'!$I$3:$I$501,'[1]Unos prihoda i primitaka'!$C$3:$C$501,"=51",'[1]Unos prihoda i primitaka'!$L$3:$L$501,"=65")</f>
        <v>0</v>
      </c>
      <c r="K40" s="18">
        <f>SUMIFS('[1]Unos prihoda i primitaka'!$I$3:$I$501,'[1]Unos prihoda i primitaka'!$C$3:$C$501,"=52",'[1]Unos prihoda i primitaka'!$L$3:$L$501,"=65")</f>
        <v>0</v>
      </c>
      <c r="L40" s="18">
        <f>SUMIFS('[1]Unos prihoda i primitaka'!$I$3:$I$501,'[1]Unos prihoda i primitaka'!$C$3:$C$501,"=552",'[1]Unos prihoda i primitaka'!$L$3:$L$501,"=65")</f>
        <v>0</v>
      </c>
      <c r="M40" s="18">
        <f>SUMIFS('[1]Unos prihoda i primitaka'!$I$3:$I$501,'[1]Unos prihoda i primitaka'!$C$3:$C$501,"=559",'[1]Unos prihoda i primitaka'!$L$3:$L$501,"=65")</f>
        <v>0</v>
      </c>
      <c r="N40" s="18">
        <f>SUMIFS('[1]Unos prihoda i primitaka'!$I$3:$I$501,'[1]Unos prihoda i primitaka'!$C$3:$C$501,"=561",'[1]Unos prihoda i primitaka'!$L$3:$L$501,"=65")</f>
        <v>0</v>
      </c>
      <c r="O40" s="18">
        <f>SUMIFS('[1]Unos prihoda i primitaka'!$I$3:$I$501,'[1]Unos prihoda i primitaka'!$C$3:$C$501,"=563",'[1]Unos prihoda i primitaka'!$L$3:$L$501,"=65")</f>
        <v>0</v>
      </c>
      <c r="P40" s="18">
        <f>SUMIFS('[1]Unos prihoda i primitaka'!$I$3:$I$501,'[1]Unos prihoda i primitaka'!$C$3:$C$501,"=573",'[1]Unos prihoda i primitaka'!$L$3:$L$501,"=65")</f>
        <v>0</v>
      </c>
      <c r="Q40" s="18">
        <f>SUMIFS('[1]Unos prihoda i primitaka'!$I$3:$I$501,'[1]Unos prihoda i primitaka'!$C$3:$C$501,"=575",'[1]Unos prihoda i primitaka'!$L$3:$L$501,"=65")</f>
        <v>0</v>
      </c>
      <c r="R40" s="18">
        <f>SUMIFS('[1]Unos prihoda i primitaka'!$I$3:$I$501,'[1]Unos prihoda i primitaka'!$C$3:$C$501,"=576",'[1]Unos prihoda i primitaka'!$L$3:$L$501,"=65")</f>
        <v>0</v>
      </c>
      <c r="S40" s="18">
        <f>SUMIFS('[1]Unos prihoda i primitaka'!$I$3:$I$501,'[1]Unos prihoda i primitaka'!$C$3:$C$501,"=581",'[1]Unos prihoda i primitaka'!$L$3:$L$501,"=65")</f>
        <v>0</v>
      </c>
      <c r="T40" s="18">
        <f>SUMIFS('[1]Unos prihoda i primitaka'!$I$3:$I$501,'[1]Unos prihoda i primitaka'!$C$3:$C$501,"=61",'[1]Unos prihoda i primitaka'!$L$3:$L$501,"=65")</f>
        <v>0</v>
      </c>
      <c r="U40" s="18">
        <f>SUMIFS('[1]Unos prihoda i primitaka'!$I$3:$I$501,'[1]Unos prihoda i primitaka'!$C$3:$C$501,"=63",'[1]Unos prihoda i primitaka'!$L$3:$L$501,"=65")</f>
        <v>0</v>
      </c>
      <c r="V40" s="18">
        <f>SUMIFS('[1]Unos prihoda i primitaka'!$I$3:$I$501,'[1]Unos prihoda i primitaka'!$C$3:$C$501,"=71",'[1]Unos prihoda i primitaka'!$L$3:$L$501,"=65")</f>
        <v>0</v>
      </c>
    </row>
    <row r="41" spans="1:22" ht="25.5" x14ac:dyDescent="0.25">
      <c r="A41" s="12">
        <v>2025</v>
      </c>
      <c r="B41" s="21" t="s">
        <v>35</v>
      </c>
      <c r="C41" s="20" t="s">
        <v>36</v>
      </c>
      <c r="D41" s="17">
        <f t="shared" si="8"/>
        <v>337477</v>
      </c>
      <c r="E41" s="18">
        <f>SUMIFS('[1]Unos prihoda i primitaka'!$I$3:$I$501,'[1]Unos prihoda i primitaka'!$C$3:$C$501,"=11",'[1]Unos prihoda i primitaka'!$L$3:$L$501,"=66")</f>
        <v>0</v>
      </c>
      <c r="F41" s="18">
        <f>SUMIFS('[1]Unos prihoda i primitaka'!$I$3:$I$501,'[1]Unos prihoda i primitaka'!$C$3:$C$501,"=12",'[1]Unos prihoda i primitaka'!$L$3:$L$501,"=66")</f>
        <v>0</v>
      </c>
      <c r="G41" s="18">
        <f>SUMIFS('[1]Unos prihoda i primitaka'!$I$3:$I$501,'[1]Unos prihoda i primitaka'!$C$3:$C$501,"=31",'[1]Unos prihoda i primitaka'!$L$3:$L$501,"=66")</f>
        <v>292021</v>
      </c>
      <c r="H41" s="18">
        <f>SUMIFS('[1]Unos prihoda i primitaka'!$I$3:$I$501,'[1]Unos prihoda i primitaka'!$C$3:$C$501,"=41",'[1]Unos prihoda i primitaka'!$L$3:$L$501,"=66")</f>
        <v>0</v>
      </c>
      <c r="I41" s="18">
        <f>SUMIFS('[1]Unos prihoda i primitaka'!$I$3:$I$501,'[1]Unos prihoda i primitaka'!$C$3:$C$501,"=43",'[1]Unos prihoda i primitaka'!$L$3:$L$501,"=66")</f>
        <v>0</v>
      </c>
      <c r="J41" s="18">
        <f>SUMIFS('[1]Unos prihoda i primitaka'!$I$3:$I$501,'[1]Unos prihoda i primitaka'!$C$3:$C$501,"=51",'[1]Unos prihoda i primitaka'!$L$3:$L$501,"=66")</f>
        <v>0</v>
      </c>
      <c r="K41" s="18">
        <f>SUMIFS('[1]Unos prihoda i primitaka'!$I$3:$I$501,'[1]Unos prihoda i primitaka'!$C$3:$C$501,"=52",'[1]Unos prihoda i primitaka'!$L$3:$L$501,"=66")</f>
        <v>0</v>
      </c>
      <c r="L41" s="18">
        <f>SUMIFS('[1]Unos prihoda i primitaka'!$I$3:$I$501,'[1]Unos prihoda i primitaka'!$C$3:$C$501,"=552",'[1]Unos prihoda i primitaka'!$L$3:$L$501,"=66")</f>
        <v>0</v>
      </c>
      <c r="M41" s="18">
        <f>SUMIFS('[1]Unos prihoda i primitaka'!$I$3:$I$501,'[1]Unos prihoda i primitaka'!$C$3:$C$501,"=559",'[1]Unos prihoda i primitaka'!$L$3:$L$501,"=66")</f>
        <v>0</v>
      </c>
      <c r="N41" s="18">
        <f>SUMIFS('[1]Unos prihoda i primitaka'!$I$3:$I$501,'[1]Unos prihoda i primitaka'!$C$3:$C$501,"=561",'[1]Unos prihoda i primitaka'!$L$3:$L$501,"=66")</f>
        <v>0</v>
      </c>
      <c r="O41" s="18">
        <f>SUMIFS('[1]Unos prihoda i primitaka'!$I$3:$I$501,'[1]Unos prihoda i primitaka'!$C$3:$C$501,"=563",'[1]Unos prihoda i primitaka'!$L$3:$L$501,"=66")</f>
        <v>0</v>
      </c>
      <c r="P41" s="18">
        <f>SUMIFS('[1]Unos prihoda i primitaka'!$I$3:$I$501,'[1]Unos prihoda i primitaka'!$C$3:$C$501,"=573",'[1]Unos prihoda i primitaka'!$L$3:$L$501,"=66")</f>
        <v>0</v>
      </c>
      <c r="Q41" s="18">
        <f>SUMIFS('[1]Unos prihoda i primitaka'!$I$3:$I$501,'[1]Unos prihoda i primitaka'!$C$3:$C$501,"=575",'[1]Unos prihoda i primitaka'!$L$3:$L$501,"=66")</f>
        <v>0</v>
      </c>
      <c r="R41" s="18">
        <f>SUMIFS('[1]Unos prihoda i primitaka'!$I$3:$I$501,'[1]Unos prihoda i primitaka'!$C$3:$C$501,"=576",'[1]Unos prihoda i primitaka'!$L$3:$L$501,"=66")</f>
        <v>0</v>
      </c>
      <c r="S41" s="18">
        <f>SUMIFS('[1]Unos prihoda i primitaka'!$I$3:$I$501,'[1]Unos prihoda i primitaka'!$C$3:$C$501,"=581",'[1]Unos prihoda i primitaka'!$L$3:$L$501,"=66")</f>
        <v>0</v>
      </c>
      <c r="T41" s="18">
        <f>SUMIFS('[1]Unos prihoda i primitaka'!$I$3:$I$501,'[1]Unos prihoda i primitaka'!$C$3:$C$501,"=61",'[1]Unos prihoda i primitaka'!$L$3:$L$501,"=66")</f>
        <v>45456</v>
      </c>
      <c r="U41" s="18">
        <f>SUMIFS('[1]Unos prihoda i primitaka'!$I$3:$I$501,'[1]Unos prihoda i primitaka'!$C$3:$C$501,"=63",'[1]Unos prihoda i primitaka'!$L$3:$L$501,"=66")</f>
        <v>0</v>
      </c>
      <c r="V41" s="18">
        <f>SUMIFS('[1]Unos prihoda i primitaka'!$I$3:$I$501,'[1]Unos prihoda i primitaka'!$C$3:$C$501,"=71",'[1]Unos prihoda i primitaka'!$L$3:$L$501,"=66")</f>
        <v>0</v>
      </c>
    </row>
    <row r="42" spans="1:22" x14ac:dyDescent="0.25">
      <c r="A42" s="12">
        <v>2025</v>
      </c>
      <c r="B42" s="19" t="s">
        <v>37</v>
      </c>
      <c r="C42" s="20" t="s">
        <v>38</v>
      </c>
      <c r="D42" s="17">
        <f t="shared" si="8"/>
        <v>8200777</v>
      </c>
      <c r="E42" s="18">
        <f>SUMIFS('[1]Unos prihoda i primitaka'!$I$3:$I$501,'[1]Unos prihoda i primitaka'!$C$3:$C$501,"=11",'[1]Unos prihoda i primitaka'!$L$3:$L$501,"=67")</f>
        <v>8200777</v>
      </c>
      <c r="F42" s="18">
        <f>SUMIFS('[1]Unos prihoda i primitaka'!$I$3:$I$501,'[1]Unos prihoda i primitaka'!$C$3:$C$501,"=12",'[1]Unos prihoda i primitaka'!$L$3:$L$501,"=67")</f>
        <v>0</v>
      </c>
      <c r="G42" s="18">
        <f>SUMIFS('[1]Unos prihoda i primitaka'!$I$3:$I$501,'[1]Unos prihoda i primitaka'!$C$3:$C$501,"=31",'[1]Unos prihoda i primitaka'!$L$3:$L$501,"=67")</f>
        <v>0</v>
      </c>
      <c r="H42" s="18">
        <f>SUMIFS('[1]Unos prihoda i primitaka'!$I$3:$I$501,'[1]Unos prihoda i primitaka'!$C$3:$C$501,"=41",'[1]Unos prihoda i primitaka'!$L$3:$L$501,"=67")</f>
        <v>0</v>
      </c>
      <c r="I42" s="18">
        <f>SUMIFS('[1]Unos prihoda i primitaka'!$I$3:$I$501,'[1]Unos prihoda i primitaka'!$C$3:$C$501,"=43",'[1]Unos prihoda i primitaka'!$L$3:$L$501,"=67")</f>
        <v>0</v>
      </c>
      <c r="J42" s="18">
        <f>SUMIFS('[1]Unos prihoda i primitaka'!$I$3:$I$501,'[1]Unos prihoda i primitaka'!$C$3:$C$501,"=51",'[1]Unos prihoda i primitaka'!$L$3:$L$501,"=67")</f>
        <v>0</v>
      </c>
      <c r="K42" s="18">
        <f>SUMIFS('[1]Unos prihoda i primitaka'!$I$3:$I$501,'[1]Unos prihoda i primitaka'!$C$3:$C$501,"=52",'[1]Unos prihoda i primitaka'!$L$3:$L$501,"=67")</f>
        <v>0</v>
      </c>
      <c r="L42" s="18">
        <f>SUMIFS('[1]Unos prihoda i primitaka'!$I$3:$I$501,'[1]Unos prihoda i primitaka'!$C$3:$C$501,"=552",'[1]Unos prihoda i primitaka'!$L$3:$L$501,"=67")</f>
        <v>0</v>
      </c>
      <c r="M42" s="18">
        <f>SUMIFS('[1]Unos prihoda i primitaka'!$I$3:$I$501,'[1]Unos prihoda i primitaka'!$C$3:$C$501,"=559",'[1]Unos prihoda i primitaka'!$L$3:$L$501,"=67")</f>
        <v>0</v>
      </c>
      <c r="N42" s="18">
        <f>SUMIFS('[1]Unos prihoda i primitaka'!$I$3:$I$501,'[1]Unos prihoda i primitaka'!$C$3:$C$501,"=561",'[1]Unos prihoda i primitaka'!$L$3:$L$501,"=67")</f>
        <v>0</v>
      </c>
      <c r="O42" s="18">
        <f>SUMIFS('[1]Unos prihoda i primitaka'!$I$3:$I$501,'[1]Unos prihoda i primitaka'!$C$3:$C$501,"=563",'[1]Unos prihoda i primitaka'!$L$3:$L$501,"=67")</f>
        <v>0</v>
      </c>
      <c r="P42" s="18">
        <f>SUMIFS('[1]Unos prihoda i primitaka'!$I$3:$I$501,'[1]Unos prihoda i primitaka'!$C$3:$C$501,"=573",'[1]Unos prihoda i primitaka'!$L$3:$L$501,"=67")</f>
        <v>0</v>
      </c>
      <c r="Q42" s="18">
        <f>SUMIFS('[1]Unos prihoda i primitaka'!$I$3:$I$501,'[1]Unos prihoda i primitaka'!$C$3:$C$501,"=575",'[1]Unos prihoda i primitaka'!$L$3:$L$501,"=67")</f>
        <v>0</v>
      </c>
      <c r="R42" s="18">
        <f>SUMIFS('[1]Unos prihoda i primitaka'!$I$3:$I$501,'[1]Unos prihoda i primitaka'!$C$3:$C$501,"=576",'[1]Unos prihoda i primitaka'!$L$3:$L$501,"=67")</f>
        <v>0</v>
      </c>
      <c r="S42" s="18">
        <f>SUMIFS('[1]Unos prihoda i primitaka'!$I$3:$I$501,'[1]Unos prihoda i primitaka'!$C$3:$C$501,"=581",'[1]Unos prihoda i primitaka'!$L$3:$L$501,"=67")</f>
        <v>0</v>
      </c>
      <c r="T42" s="18">
        <f>SUMIFS('[1]Unos prihoda i primitaka'!$I$3:$I$501,'[1]Unos prihoda i primitaka'!$C$3:$C$501,"=61",'[1]Unos prihoda i primitaka'!$L$3:$L$501,"=67")</f>
        <v>0</v>
      </c>
      <c r="U42" s="18">
        <f>SUMIFS('[1]Unos prihoda i primitaka'!$I$3:$I$501,'[1]Unos prihoda i primitaka'!$C$3:$C$501,"=63",'[1]Unos prihoda i primitaka'!$L$3:$L$501,"=67")</f>
        <v>0</v>
      </c>
      <c r="V42" s="18">
        <f>SUMIFS('[1]Unos prihoda i primitaka'!$I$3:$I$501,'[1]Unos prihoda i primitaka'!$C$3:$C$501,"=71",'[1]Unos prihoda i primitaka'!$L$3:$L$501,"=67")</f>
        <v>0</v>
      </c>
    </row>
    <row r="43" spans="1:22" x14ac:dyDescent="0.25">
      <c r="A43" s="12">
        <v>2025</v>
      </c>
      <c r="B43" s="19" t="s">
        <v>39</v>
      </c>
      <c r="C43" s="20" t="s">
        <v>40</v>
      </c>
      <c r="D43" s="17">
        <f t="shared" si="8"/>
        <v>0</v>
      </c>
      <c r="E43" s="18">
        <f>SUMIFS('[1]Unos prihoda i primitaka'!$I$3:$I$501,'[1]Unos prihoda i primitaka'!$C$3:$C$501,"=11",'[1]Unos prihoda i primitaka'!$L$3:$L$501,"=68")</f>
        <v>0</v>
      </c>
      <c r="F43" s="18">
        <f>SUMIFS('[1]Unos prihoda i primitaka'!$I$3:$I$501,'[1]Unos prihoda i primitaka'!$C$3:$C$501,"=12",'[1]Unos prihoda i primitaka'!$L$3:$L$501,"=68")</f>
        <v>0</v>
      </c>
      <c r="G43" s="18">
        <f>SUMIFS('[1]Unos prihoda i primitaka'!$I$3:$I$501,'[1]Unos prihoda i primitaka'!$C$3:$C$501,"=31",'[1]Unos prihoda i primitaka'!$L$3:$L$501,"=68")</f>
        <v>0</v>
      </c>
      <c r="H43" s="18">
        <f>SUMIFS('[1]Unos prihoda i primitaka'!$I$3:$I$501,'[1]Unos prihoda i primitaka'!$C$3:$C$501,"=41",'[1]Unos prihoda i primitaka'!$L$3:$L$501,"=68")</f>
        <v>0</v>
      </c>
      <c r="I43" s="18">
        <f>SUMIFS('[1]Unos prihoda i primitaka'!$I$3:$I$501,'[1]Unos prihoda i primitaka'!$C$3:$C$501,"=43",'[1]Unos prihoda i primitaka'!$L$3:$L$501,"=68")</f>
        <v>0</v>
      </c>
      <c r="J43" s="18">
        <f>SUMIFS('[1]Unos prihoda i primitaka'!$I$3:$I$501,'[1]Unos prihoda i primitaka'!$C$3:$C$501,"=51",'[1]Unos prihoda i primitaka'!$L$3:$L$501,"=68")</f>
        <v>0</v>
      </c>
      <c r="K43" s="18">
        <f>SUMIFS('[1]Unos prihoda i primitaka'!$I$3:$I$501,'[1]Unos prihoda i primitaka'!$C$3:$C$501,"=52",'[1]Unos prihoda i primitaka'!$L$3:$L$501,"=68")</f>
        <v>0</v>
      </c>
      <c r="L43" s="18">
        <f>SUMIFS('[1]Unos prihoda i primitaka'!$I$3:$I$501,'[1]Unos prihoda i primitaka'!$C$3:$C$501,"=552",'[1]Unos prihoda i primitaka'!$L$3:$L$501,"=68")</f>
        <v>0</v>
      </c>
      <c r="M43" s="18">
        <f>SUMIFS('[1]Unos prihoda i primitaka'!$I$3:$I$501,'[1]Unos prihoda i primitaka'!$C$3:$C$501,"=559",'[1]Unos prihoda i primitaka'!$L$3:$L$501,"=68")</f>
        <v>0</v>
      </c>
      <c r="N43" s="18">
        <f>SUMIFS('[1]Unos prihoda i primitaka'!$I$3:$I$501,'[1]Unos prihoda i primitaka'!$C$3:$C$501,"=561",'[1]Unos prihoda i primitaka'!$L$3:$L$501,"=68")</f>
        <v>0</v>
      </c>
      <c r="O43" s="18">
        <f>SUMIFS('[1]Unos prihoda i primitaka'!$I$3:$I$501,'[1]Unos prihoda i primitaka'!$C$3:$C$501,"=563",'[1]Unos prihoda i primitaka'!$L$3:$L$501,"=68")</f>
        <v>0</v>
      </c>
      <c r="P43" s="18">
        <f>SUMIFS('[1]Unos prihoda i primitaka'!$I$3:$I$501,'[1]Unos prihoda i primitaka'!$C$3:$C$501,"=573",'[1]Unos prihoda i primitaka'!$L$3:$L$501,"=68")</f>
        <v>0</v>
      </c>
      <c r="Q43" s="18">
        <f>SUMIFS('[1]Unos prihoda i primitaka'!$I$3:$I$501,'[1]Unos prihoda i primitaka'!$C$3:$C$501,"=575",'[1]Unos prihoda i primitaka'!$L$3:$L$501,"=68")</f>
        <v>0</v>
      </c>
      <c r="R43" s="18">
        <f>SUMIFS('[1]Unos prihoda i primitaka'!$I$3:$I$501,'[1]Unos prihoda i primitaka'!$C$3:$C$501,"=576",'[1]Unos prihoda i primitaka'!$L$3:$L$501,"=68")</f>
        <v>0</v>
      </c>
      <c r="S43" s="18">
        <f>SUMIFS('[1]Unos prihoda i primitaka'!$I$3:$I$501,'[1]Unos prihoda i primitaka'!$C$3:$C$501,"=581",'[1]Unos prihoda i primitaka'!$L$3:$L$501,"=68")</f>
        <v>0</v>
      </c>
      <c r="T43" s="18">
        <f>SUMIFS('[1]Unos prihoda i primitaka'!$I$3:$I$501,'[1]Unos prihoda i primitaka'!$C$3:$C$501,"=61",'[1]Unos prihoda i primitaka'!$L$3:$L$501,"=68")</f>
        <v>0</v>
      </c>
      <c r="U43" s="18">
        <f>SUMIFS('[1]Unos prihoda i primitaka'!$I$3:$I$501,'[1]Unos prihoda i primitaka'!$C$3:$C$501,"=63",'[1]Unos prihoda i primitaka'!$L$3:$L$501,"=68")</f>
        <v>0</v>
      </c>
      <c r="V43" s="18">
        <f>SUMIFS('[1]Unos prihoda i primitaka'!$I$3:$I$501,'[1]Unos prihoda i primitaka'!$C$3:$C$501,"=71",'[1]Unos prihoda i primitaka'!$L$3:$L$501,"=68")</f>
        <v>0</v>
      </c>
    </row>
    <row r="44" spans="1:22" x14ac:dyDescent="0.25">
      <c r="A44" s="12">
        <v>2025</v>
      </c>
      <c r="B44" s="22" t="s">
        <v>41</v>
      </c>
      <c r="C44" s="23" t="s">
        <v>42</v>
      </c>
      <c r="D44" s="17">
        <f t="shared" si="8"/>
        <v>11543125</v>
      </c>
      <c r="E44" s="24">
        <f t="shared" ref="E44:V44" si="10">SUM(E37:E43)</f>
        <v>8200777</v>
      </c>
      <c r="F44" s="24">
        <f t="shared" si="10"/>
        <v>0</v>
      </c>
      <c r="G44" s="24">
        <f t="shared" si="10"/>
        <v>292021</v>
      </c>
      <c r="H44" s="24">
        <f t="shared" si="10"/>
        <v>0</v>
      </c>
      <c r="I44" s="24">
        <f t="shared" si="10"/>
        <v>2807994</v>
      </c>
      <c r="J44" s="24">
        <f t="shared" si="10"/>
        <v>0</v>
      </c>
      <c r="K44" s="24">
        <f t="shared" si="10"/>
        <v>196877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45456</v>
      </c>
      <c r="U44" s="24">
        <f t="shared" si="10"/>
        <v>0</v>
      </c>
      <c r="V44" s="24">
        <f t="shared" si="10"/>
        <v>0</v>
      </c>
    </row>
    <row r="45" spans="1:22" x14ac:dyDescent="0.25">
      <c r="A45" s="12">
        <v>2025</v>
      </c>
      <c r="B45" s="19" t="s">
        <v>43</v>
      </c>
      <c r="C45" s="25" t="s">
        <v>44</v>
      </c>
      <c r="D45" s="17">
        <f t="shared" si="8"/>
        <v>0</v>
      </c>
      <c r="E45" s="18">
        <f>SUMIFS('[1]Unos prihoda i primitaka'!$I$3:$I$501,'[1]Unos prihoda i primitaka'!$C$3:$C$501,"=11",'[1]Unos prihoda i primitaka'!$L$3:$L$501,"=71")</f>
        <v>0</v>
      </c>
      <c r="F45" s="18">
        <f>SUMIFS('[1]Unos prihoda i primitaka'!$I$3:$I$501,'[1]Unos prihoda i primitaka'!$C$3:$C$501,"=12",'[1]Unos prihoda i primitaka'!$L$3:$L$501,"=71")</f>
        <v>0</v>
      </c>
      <c r="G45" s="18">
        <f>SUMIFS('[1]Unos prihoda i primitaka'!$I$3:$I$501,'[1]Unos prihoda i primitaka'!$C$3:$C$501,"=31",'[1]Unos prihoda i primitaka'!$L$3:$L$501,"=71")</f>
        <v>0</v>
      </c>
      <c r="H45" s="18">
        <f>SUMIFS('[1]Unos prihoda i primitaka'!$I$3:$I$501,'[1]Unos prihoda i primitaka'!$C$3:$C$501,"=41",'[1]Unos prihoda i primitaka'!$L$3:$L$501,"=71")</f>
        <v>0</v>
      </c>
      <c r="I45" s="18">
        <f>SUMIFS('[1]Unos prihoda i primitaka'!$I$3:$I$501,'[1]Unos prihoda i primitaka'!$C$3:$C$501,"=43",'[1]Unos prihoda i primitaka'!$L$3:$L$501,"=71")</f>
        <v>0</v>
      </c>
      <c r="J45" s="18">
        <f>SUMIFS('[1]Unos prihoda i primitaka'!$I$3:$I$501,'[1]Unos prihoda i primitaka'!$C$3:$C$501,"=51",'[1]Unos prihoda i primitaka'!$L$3:$L$501,"=71")</f>
        <v>0</v>
      </c>
      <c r="K45" s="18">
        <f>SUMIFS('[1]Unos prihoda i primitaka'!$I$3:$I$501,'[1]Unos prihoda i primitaka'!$C$3:$C$501,"=52",'[1]Unos prihoda i primitaka'!$L$3:$L$501,"=71")</f>
        <v>0</v>
      </c>
      <c r="L45" s="18">
        <f>SUMIFS('[1]Unos prihoda i primitaka'!$I$3:$I$501,'[1]Unos prihoda i primitaka'!$C$3:$C$501,"=552",'[1]Unos prihoda i primitaka'!$L$3:$L$501,"=71")</f>
        <v>0</v>
      </c>
      <c r="M45" s="18">
        <f>SUMIFS('[1]Unos prihoda i primitaka'!$I$3:$I$501,'[1]Unos prihoda i primitaka'!$C$3:$C$501,"=559",'[1]Unos prihoda i primitaka'!$L$3:$L$501,"=71")</f>
        <v>0</v>
      </c>
      <c r="N45" s="18">
        <f>SUMIFS('[1]Unos prihoda i primitaka'!$I$3:$I$501,'[1]Unos prihoda i primitaka'!$C$3:$C$501,"=561",'[1]Unos prihoda i primitaka'!$L$3:$L$501,"=71")</f>
        <v>0</v>
      </c>
      <c r="O45" s="18">
        <f>SUMIFS('[1]Unos prihoda i primitaka'!$I$3:$I$501,'[1]Unos prihoda i primitaka'!$C$3:$C$501,"=563",'[1]Unos prihoda i primitaka'!$L$3:$L$501,"=71")</f>
        <v>0</v>
      </c>
      <c r="P45" s="18">
        <f>SUMIFS('[1]Unos prihoda i primitaka'!$I$3:$I$501,'[1]Unos prihoda i primitaka'!$C$3:$C$501,"=573",'[1]Unos prihoda i primitaka'!$L$3:$L$501,"=71")</f>
        <v>0</v>
      </c>
      <c r="Q45" s="18">
        <f>SUMIFS('[1]Unos prihoda i primitaka'!$I$3:$I$501,'[1]Unos prihoda i primitaka'!$C$3:$C$501,"=575",'[1]Unos prihoda i primitaka'!$L$3:$L$501,"=71")</f>
        <v>0</v>
      </c>
      <c r="R45" s="18">
        <f>SUMIFS('[1]Unos prihoda i primitaka'!$I$3:$I$501,'[1]Unos prihoda i primitaka'!$C$3:$C$501,"=576",'[1]Unos prihoda i primitaka'!$L$3:$L$501,"=71")</f>
        <v>0</v>
      </c>
      <c r="S45" s="18">
        <f>SUMIFS('[1]Unos prihoda i primitaka'!$I$3:$I$501,'[1]Unos prihoda i primitaka'!$C$3:$C$501,"=581",'[1]Unos prihoda i primitaka'!$L$3:$L$501,"=71")</f>
        <v>0</v>
      </c>
      <c r="T45" s="18">
        <f>SUMIFS('[1]Unos prihoda i primitaka'!$I$3:$I$501,'[1]Unos prihoda i primitaka'!$C$3:$C$501,"=61",'[1]Unos prihoda i primitaka'!$L$3:$L$501,"=71")</f>
        <v>0</v>
      </c>
      <c r="U45" s="18">
        <f>SUMIFS('[1]Unos prihoda i primitaka'!$I$3:$I$501,'[1]Unos prihoda i primitaka'!$C$3:$C$501,"=63",'[1]Unos prihoda i primitaka'!$L$3:$L$501,"=71")</f>
        <v>0</v>
      </c>
      <c r="V45" s="18">
        <f>SUMIFS('[1]Unos prihoda i primitaka'!$I$3:$I$501,'[1]Unos prihoda i primitaka'!$C$3:$C$501,"=71",'[1]Unos prihoda i primitaka'!$L$3:$L$501,"=71")</f>
        <v>0</v>
      </c>
    </row>
    <row r="46" spans="1:22" x14ac:dyDescent="0.25">
      <c r="A46" s="12">
        <v>2025</v>
      </c>
      <c r="B46" s="19" t="s">
        <v>45</v>
      </c>
      <c r="C46" s="25" t="s">
        <v>46</v>
      </c>
      <c r="D46" s="17">
        <f t="shared" si="8"/>
        <v>0</v>
      </c>
      <c r="E46" s="18">
        <f>SUMIFS('[1]Unos prihoda i primitaka'!$I$3:$I$501,'[1]Unos prihoda i primitaka'!$C$3:$C$501,"=11",'[1]Unos prihoda i primitaka'!$L$3:$L$501,"=72")</f>
        <v>0</v>
      </c>
      <c r="F46" s="18">
        <f>SUMIFS('[1]Unos prihoda i primitaka'!$I$3:$I$501,'[1]Unos prihoda i primitaka'!$C$3:$C$501,"=12",'[1]Unos prihoda i primitaka'!$L$3:$L$501,"=72")</f>
        <v>0</v>
      </c>
      <c r="G46" s="18">
        <f>SUMIFS('[1]Unos prihoda i primitaka'!$I$3:$I$501,'[1]Unos prihoda i primitaka'!$C$3:$C$501,"=31",'[1]Unos prihoda i primitaka'!$L$3:$L$501,"=72")</f>
        <v>0</v>
      </c>
      <c r="H46" s="18">
        <f>SUMIFS('[1]Unos prihoda i primitaka'!$I$3:$I$501,'[1]Unos prihoda i primitaka'!$C$3:$C$501,"=41",'[1]Unos prihoda i primitaka'!$L$3:$L$501,"=72")</f>
        <v>0</v>
      </c>
      <c r="I46" s="18">
        <f>SUMIFS('[1]Unos prihoda i primitaka'!$I$3:$I$501,'[1]Unos prihoda i primitaka'!$C$3:$C$501,"=43",'[1]Unos prihoda i primitaka'!$L$3:$L$501,"=72")</f>
        <v>0</v>
      </c>
      <c r="J46" s="18">
        <f>SUMIFS('[1]Unos prihoda i primitaka'!$I$3:$I$501,'[1]Unos prihoda i primitaka'!$C$3:$C$501,"=51",'[1]Unos prihoda i primitaka'!$L$3:$L$501,"=72")</f>
        <v>0</v>
      </c>
      <c r="K46" s="18">
        <f>SUMIFS('[1]Unos prihoda i primitaka'!$I$3:$I$501,'[1]Unos prihoda i primitaka'!$C$3:$C$501,"=52",'[1]Unos prihoda i primitaka'!$L$3:$L$501,"=72")</f>
        <v>0</v>
      </c>
      <c r="L46" s="18">
        <f>SUMIFS('[1]Unos prihoda i primitaka'!$I$3:$I$501,'[1]Unos prihoda i primitaka'!$C$3:$C$501,"=552",'[1]Unos prihoda i primitaka'!$L$3:$L$501,"=72")</f>
        <v>0</v>
      </c>
      <c r="M46" s="18">
        <f>SUMIFS('[1]Unos prihoda i primitaka'!$I$3:$I$501,'[1]Unos prihoda i primitaka'!$C$3:$C$501,"=559",'[1]Unos prihoda i primitaka'!$L$3:$L$501,"=72")</f>
        <v>0</v>
      </c>
      <c r="N46" s="18">
        <f>SUMIFS('[1]Unos prihoda i primitaka'!$I$3:$I$501,'[1]Unos prihoda i primitaka'!$C$3:$C$501,"=561",'[1]Unos prihoda i primitaka'!$L$3:$L$501,"=72")</f>
        <v>0</v>
      </c>
      <c r="O46" s="18">
        <f>SUMIFS('[1]Unos prihoda i primitaka'!$I$3:$I$501,'[1]Unos prihoda i primitaka'!$C$3:$C$501,"=563",'[1]Unos prihoda i primitaka'!$L$3:$L$501,"=72")</f>
        <v>0</v>
      </c>
      <c r="P46" s="18">
        <f>SUMIFS('[1]Unos prihoda i primitaka'!$I$3:$I$501,'[1]Unos prihoda i primitaka'!$C$3:$C$501,"=573",'[1]Unos prihoda i primitaka'!$L$3:$L$501,"=72")</f>
        <v>0</v>
      </c>
      <c r="Q46" s="18">
        <f>SUMIFS('[1]Unos prihoda i primitaka'!$I$3:$I$501,'[1]Unos prihoda i primitaka'!$C$3:$C$501,"=575",'[1]Unos prihoda i primitaka'!$L$3:$L$501,"=72")</f>
        <v>0</v>
      </c>
      <c r="R46" s="18">
        <f>SUMIFS('[1]Unos prihoda i primitaka'!$I$3:$I$501,'[1]Unos prihoda i primitaka'!$C$3:$C$501,"=576",'[1]Unos prihoda i primitaka'!$L$3:$L$501,"=72")</f>
        <v>0</v>
      </c>
      <c r="S46" s="18">
        <f>SUMIFS('[1]Unos prihoda i primitaka'!$I$3:$I$501,'[1]Unos prihoda i primitaka'!$C$3:$C$501,"=581",'[1]Unos prihoda i primitaka'!$L$3:$L$501,"=72")</f>
        <v>0</v>
      </c>
      <c r="T46" s="18">
        <f>SUMIFS('[1]Unos prihoda i primitaka'!$I$3:$I$501,'[1]Unos prihoda i primitaka'!$C$3:$C$501,"=61",'[1]Unos prihoda i primitaka'!$L$3:$L$501,"=72")</f>
        <v>0</v>
      </c>
      <c r="U46" s="18">
        <f>SUMIFS('[1]Unos prihoda i primitaka'!$I$3:$I$501,'[1]Unos prihoda i primitaka'!$C$3:$C$501,"=63",'[1]Unos prihoda i primitaka'!$L$3:$L$501,"=72")</f>
        <v>0</v>
      </c>
      <c r="V46" s="18">
        <f>SUMIFS('[1]Unos prihoda i primitaka'!$I$3:$I$501,'[1]Unos prihoda i primitaka'!$C$3:$C$501,"=71",'[1]Unos prihoda i primitaka'!$L$3:$L$501,"=72")</f>
        <v>0</v>
      </c>
    </row>
    <row r="47" spans="1:22" x14ac:dyDescent="0.25">
      <c r="A47" s="12">
        <v>2025</v>
      </c>
      <c r="B47" s="22" t="s">
        <v>47</v>
      </c>
      <c r="C47" s="23" t="s">
        <v>42</v>
      </c>
      <c r="D47" s="17">
        <f t="shared" si="8"/>
        <v>0</v>
      </c>
      <c r="E47" s="24">
        <f t="shared" ref="E47:V47" si="11">SUM(E45:E46)</f>
        <v>0</v>
      </c>
      <c r="F47" s="24">
        <f t="shared" si="11"/>
        <v>0</v>
      </c>
      <c r="G47" s="24">
        <f t="shared" si="11"/>
        <v>0</v>
      </c>
      <c r="H47" s="24">
        <f t="shared" si="11"/>
        <v>0</v>
      </c>
      <c r="I47" s="24">
        <f t="shared" si="11"/>
        <v>0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si="11"/>
        <v>0</v>
      </c>
      <c r="N47" s="24">
        <f t="shared" si="11"/>
        <v>0</v>
      </c>
      <c r="O47" s="24">
        <f t="shared" si="11"/>
        <v>0</v>
      </c>
      <c r="P47" s="24">
        <f t="shared" si="11"/>
        <v>0</v>
      </c>
      <c r="Q47" s="24">
        <f t="shared" si="11"/>
        <v>0</v>
      </c>
      <c r="R47" s="24">
        <f t="shared" si="11"/>
        <v>0</v>
      </c>
      <c r="S47" s="24">
        <f t="shared" si="11"/>
        <v>0</v>
      </c>
      <c r="T47" s="24">
        <f t="shared" si="11"/>
        <v>0</v>
      </c>
      <c r="U47" s="24">
        <f t="shared" si="11"/>
        <v>0</v>
      </c>
      <c r="V47" s="24">
        <f t="shared" si="11"/>
        <v>0</v>
      </c>
    </row>
  </sheetData>
  <mergeCells count="5">
    <mergeCell ref="B1:V1"/>
    <mergeCell ref="B2:V2"/>
    <mergeCell ref="B3:V3"/>
    <mergeCell ref="B4:V4"/>
    <mergeCell ref="B5:V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E140-EC33-472C-BAB6-F742AE380EBA}">
  <sheetPr>
    <pageSetUpPr fitToPage="1"/>
  </sheetPr>
  <dimension ref="A1:W52"/>
  <sheetViews>
    <sheetView tabSelected="1" topLeftCell="A37" workbookViewId="0">
      <selection activeCell="D3" sqref="D3"/>
    </sheetView>
  </sheetViews>
  <sheetFormatPr defaultRowHeight="15" x14ac:dyDescent="0.25"/>
  <cols>
    <col min="1" max="1" width="11.42578125" customWidth="1"/>
    <col min="2" max="2" width="10" customWidth="1"/>
    <col min="3" max="3" width="40" customWidth="1"/>
    <col min="4" max="4" width="13.85546875" customWidth="1"/>
    <col min="5" max="15" width="13.140625" customWidth="1"/>
    <col min="16" max="16" width="14.42578125" customWidth="1"/>
    <col min="17" max="21" width="13.140625" customWidth="1"/>
    <col min="22" max="22" width="14.7109375" customWidth="1"/>
    <col min="23" max="23" width="13.140625" customWidth="1"/>
  </cols>
  <sheetData>
    <row r="1" spans="1:23" ht="21" x14ac:dyDescent="0.25">
      <c r="A1" s="44"/>
      <c r="B1" s="66" t="s">
        <v>123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.75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5" t="s">
        <v>3</v>
      </c>
    </row>
    <row r="3" spans="1:23" ht="63.75" x14ac:dyDescent="0.25">
      <c r="A3" s="46" t="s">
        <v>4</v>
      </c>
      <c r="B3" s="11" t="s">
        <v>124</v>
      </c>
      <c r="C3" s="11" t="s">
        <v>125</v>
      </c>
      <c r="D3" s="31" t="s">
        <v>150</v>
      </c>
      <c r="E3" s="31" t="s">
        <v>126</v>
      </c>
      <c r="F3" s="31" t="s">
        <v>9</v>
      </c>
      <c r="G3" s="11" t="s">
        <v>10</v>
      </c>
      <c r="H3" s="11" t="s">
        <v>127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128</v>
      </c>
      <c r="R3" s="11" t="s">
        <v>129</v>
      </c>
      <c r="S3" s="11" t="s">
        <v>22</v>
      </c>
      <c r="T3" s="11" t="s">
        <v>23</v>
      </c>
      <c r="U3" s="11" t="s">
        <v>24</v>
      </c>
      <c r="V3" s="11" t="s">
        <v>130</v>
      </c>
      <c r="W3" s="11" t="s">
        <v>131</v>
      </c>
    </row>
    <row r="4" spans="1:23" ht="21" x14ac:dyDescent="0.25">
      <c r="A4" s="47">
        <v>2023</v>
      </c>
      <c r="B4" s="13">
        <v>2023</v>
      </c>
      <c r="C4" s="13" t="s">
        <v>132</v>
      </c>
      <c r="D4" s="14">
        <f>SUM(E4:W4)</f>
        <v>14868357.944322782</v>
      </c>
      <c r="E4" s="48">
        <f>E5+E13</f>
        <v>9024966</v>
      </c>
      <c r="F4" s="48">
        <f t="shared" ref="F4:W4" si="0">F5+F13</f>
        <v>18075</v>
      </c>
      <c r="G4" s="48">
        <f t="shared" si="0"/>
        <v>292253</v>
      </c>
      <c r="H4" s="48">
        <f t="shared" si="0"/>
        <v>0</v>
      </c>
      <c r="I4" s="48">
        <f t="shared" si="0"/>
        <v>3293381</v>
      </c>
      <c r="J4" s="48">
        <f t="shared" si="0"/>
        <v>534913.94432278187</v>
      </c>
      <c r="K4" s="48">
        <f>K5+K13</f>
        <v>1602342</v>
      </c>
      <c r="L4" s="48">
        <f t="shared" si="0"/>
        <v>0</v>
      </c>
      <c r="M4" s="48">
        <f t="shared" si="0"/>
        <v>0</v>
      </c>
      <c r="N4" s="48">
        <f t="shared" si="0"/>
        <v>102427</v>
      </c>
      <c r="O4" s="48">
        <f t="shared" si="0"/>
        <v>0</v>
      </c>
      <c r="P4" s="48">
        <f t="shared" si="0"/>
        <v>0</v>
      </c>
      <c r="Q4" s="48">
        <f t="shared" si="0"/>
        <v>0</v>
      </c>
      <c r="R4" s="48">
        <f t="shared" si="0"/>
        <v>0</v>
      </c>
      <c r="S4" s="48">
        <f t="shared" si="0"/>
        <v>0</v>
      </c>
      <c r="T4" s="48">
        <f t="shared" si="0"/>
        <v>0</v>
      </c>
      <c r="U4" s="48">
        <f t="shared" si="0"/>
        <v>0</v>
      </c>
      <c r="V4" s="48">
        <f t="shared" si="0"/>
        <v>0</v>
      </c>
      <c r="W4" s="48">
        <f t="shared" si="0"/>
        <v>0</v>
      </c>
    </row>
    <row r="5" spans="1:23" x14ac:dyDescent="0.25">
      <c r="A5" s="47">
        <v>2023</v>
      </c>
      <c r="B5" s="49">
        <v>3</v>
      </c>
      <c r="C5" s="50" t="s">
        <v>133</v>
      </c>
      <c r="D5" s="51">
        <f t="shared" ref="D5:D18" si="1">SUM(E5:W5)</f>
        <v>13978884.944322782</v>
      </c>
      <c r="E5" s="52">
        <f t="shared" ref="E5:G5" si="2">SUM(E6:E12)</f>
        <v>8969632</v>
      </c>
      <c r="F5" s="52">
        <f t="shared" si="2"/>
        <v>18075</v>
      </c>
      <c r="G5" s="52">
        <f t="shared" si="2"/>
        <v>292253</v>
      </c>
      <c r="H5" s="52">
        <f>SUM(H6:H12)</f>
        <v>0</v>
      </c>
      <c r="I5" s="52">
        <f t="shared" ref="I5:K5" si="3">SUM(I6:I12)</f>
        <v>2478023</v>
      </c>
      <c r="J5" s="52">
        <f t="shared" si="3"/>
        <v>529813.94432278187</v>
      </c>
      <c r="K5" s="52">
        <f t="shared" si="3"/>
        <v>1588661</v>
      </c>
      <c r="L5" s="52">
        <f>SUM(L6:L12)</f>
        <v>0</v>
      </c>
      <c r="M5" s="52">
        <f t="shared" ref="M5:O5" si="4">SUM(M6:M12)</f>
        <v>0</v>
      </c>
      <c r="N5" s="52">
        <f t="shared" si="4"/>
        <v>102427</v>
      </c>
      <c r="O5" s="52">
        <f t="shared" si="4"/>
        <v>0</v>
      </c>
      <c r="P5" s="52">
        <f>SUM(P6:P12)</f>
        <v>0</v>
      </c>
      <c r="Q5" s="52">
        <f>SUM(Q6:Q12)</f>
        <v>0</v>
      </c>
      <c r="R5" s="52">
        <f>SUM(R6:R12)</f>
        <v>0</v>
      </c>
      <c r="S5" s="52">
        <f>SUM(S6:S12)</f>
        <v>0</v>
      </c>
      <c r="T5" s="52">
        <f t="shared" ref="T5:W5" si="5">SUM(T6:T12)</f>
        <v>0</v>
      </c>
      <c r="U5" s="52">
        <f t="shared" si="5"/>
        <v>0</v>
      </c>
      <c r="V5" s="52">
        <f t="shared" si="5"/>
        <v>0</v>
      </c>
      <c r="W5" s="52">
        <f t="shared" si="5"/>
        <v>0</v>
      </c>
    </row>
    <row r="6" spans="1:23" x14ac:dyDescent="0.25">
      <c r="A6" s="47">
        <v>2023</v>
      </c>
      <c r="B6" s="53">
        <v>31</v>
      </c>
      <c r="C6" s="54" t="s">
        <v>134</v>
      </c>
      <c r="D6" s="55">
        <f>SUM(E6:W6)</f>
        <v>8632852.9443227816</v>
      </c>
      <c r="E6" s="56">
        <v>6747404</v>
      </c>
      <c r="F6" s="56">
        <v>18075</v>
      </c>
      <c r="G6" s="56">
        <f>SUMIFS('[1]Unos rashoda i izdataka'!$J$3:$J$501,'[1]Unos rashoda i izdataka'!$C$3:$C$501,"=31",'[1]Unos rashoda i izdataka'!$P$3:$P$501,"=31")+SUMIFS('[1]Unos rashoda P4'!$H$3:$H$501,'[1]Unos rashoda P4'!$A$3:$A$501,"=31",'[1]Unos rashoda P4'!$S$3:$S$501,"=31")</f>
        <v>264517</v>
      </c>
      <c r="H6" s="56">
        <f>SUMIFS('[1]Unos rashoda i izdataka'!$J$3:$J$501,'[1]Unos rashoda i izdataka'!$C$3:$C$501,"=41",'[1]Unos rashoda i izdataka'!$P$3:$P$501,"=31")+SUMIFS('[1]Unos rashoda P4'!$H$3:$H$501,'[1]Unos rashoda P4'!$A$3:$A$501,"=41",'[1]Unos rashoda P4'!$S$3:$S$501,"=31")</f>
        <v>0</v>
      </c>
      <c r="I6" s="56">
        <f>SUMIFS('[1]Unos rashoda i izdataka'!$J$3:$J$501,'[1]Unos rashoda i izdataka'!$C$3:$C$501,"=43",'[1]Unos rashoda i izdataka'!$P$3:$P$501,"=31")+SUMIFS('[1]Unos rashoda P4'!$H$3:$H$501,'[1]Unos rashoda P4'!$A$3:$A$501,"=43",'[1]Unos rashoda P4'!$S$3:$S$501,"=31")</f>
        <v>1347969</v>
      </c>
      <c r="J6" s="56">
        <f>SUMIFS('[1]Unos rashoda i izdataka'!$J$3:$J$501,'[1]Unos rashoda i izdataka'!$C$3:$C$501,"=51",'[1]Unos rashoda i izdataka'!$P$3:$P$501,"=31")+SUMIFS('[1]Unos rashoda P4'!$H$3:$H$501,'[1]Unos rashoda P4'!$A$3:$A$501,"=51",'[1]Unos rashoda P4'!$S$3:$S$501,"=31")</f>
        <v>40933.94432278187</v>
      </c>
      <c r="K6" s="56">
        <v>111527</v>
      </c>
      <c r="L6" s="56">
        <f>SUMIFS('[1]Unos rashoda i izdataka'!$J$3:$J$501,'[1]Unos rashoda i izdataka'!$C$3:$C$501,"=552",'[1]Unos rashoda i izdataka'!$P$3:$P$501,"=31")+SUMIFS('[1]Unos rashoda P4'!$H$3:$H$501,'[1]Unos rashoda P4'!$A$3:$A$501,"=552",'[1]Unos rashoda P4'!$S$3:$S$501,"=31")</f>
        <v>0</v>
      </c>
      <c r="M6" s="56">
        <f>SUMIFS('[1]Unos rashoda i izdataka'!$J$3:$J$501,'[1]Unos rashoda i izdataka'!$C$3:$C$501,"=559",'[1]Unos rashoda i izdataka'!$P$3:$P$501,"=31")+SUMIFS('[1]Unos rashoda P4'!$H$3:$H$501,'[1]Unos rashoda P4'!$A$3:$A$501,"=559",'[1]Unos rashoda P4'!$S$3:$S$501,"=31")</f>
        <v>0</v>
      </c>
      <c r="N6" s="56">
        <v>102427</v>
      </c>
      <c r="O6" s="56"/>
      <c r="P6" s="56">
        <f>SUMIFS('[1]Unos rashoda i izdataka'!$J$3:$J$501,'[1]Unos rashoda i izdataka'!$C$3:$C$501,"=573",'[1]Unos rashoda i izdataka'!$P$3:$P$501,"=31")+SUMIFS('[1]Unos rashoda P4'!$H$3:$H$501,'[1]Unos rashoda P4'!$A$3:$A$501,"=573",'[1]Unos rashoda P4'!$S$3:$S$501,"=31")</f>
        <v>0</v>
      </c>
      <c r="Q6" s="56">
        <f>SUMIFS('[1]Unos rashoda i izdataka'!$J$3:$J$501,'[1]Unos rashoda i izdataka'!$C$3:$C$501,"=575",'[1]Unos rashoda i izdataka'!$P$3:$P$501,"=31")+SUMIFS('[1]Unos rashoda P4'!$H$3:$H$501,'[1]Unos rashoda P4'!$A$3:$A$501,"=575",'[1]Unos rashoda P4'!$S$3:$S$501,"=31")</f>
        <v>0</v>
      </c>
      <c r="R6" s="56">
        <f>SUMIFS('[1]Unos rashoda i izdataka'!$J$3:$J$501,'[1]Unos rashoda i izdataka'!$Q$3:$Q$501,"=576",'[1]Unos rashoda i izdataka'!$P$3:$P$501,"=31")+SUMIFS('[1]Unos rashoda P4'!$H$3:$H$501,'[1]Unos rashoda P4'!$A$3:$A$501,"=576",'[1]Unos rashoda P4'!$S$3:$S$501,"=31")</f>
        <v>0</v>
      </c>
      <c r="S6" s="56">
        <f>SUMIFS('[1]Unos rashoda i izdataka'!$J$3:$J$501,'[1]Unos rashoda i izdataka'!$C$3:$C$501,"=581",'[1]Unos rashoda i izdataka'!$P$3:$P$501,"=31")+SUMIFS('[1]Unos rashoda P4'!$H$3:$H$501,'[1]Unos rashoda P4'!$A$3:$A$501,"=581",'[1]Unos rashoda P4'!$S$3:$S$501,"=31")</f>
        <v>0</v>
      </c>
      <c r="T6" s="56"/>
      <c r="U6" s="56">
        <f>SUMIFS('[1]Unos rashoda i izdataka'!$J$3:$J$501,'[1]Unos rashoda i izdataka'!$C$3:$C$501,"=63",'[1]Unos rashoda i izdataka'!$P$3:$P$501,"=31")+SUMIFS('[1]Unos rashoda P4'!$H$3:$H$501,'[1]Unos rashoda P4'!$A$3:$A$501,"=63",'[1]Unos rashoda P4'!$S$3:$S$501,"=31")</f>
        <v>0</v>
      </c>
      <c r="V6" s="56">
        <f>SUMIFS('[1]Unos rashoda i izdataka'!$J$3:$J$501,'[1]Unos rashoda i izdataka'!$C$3:$C$501,"=71",'[1]Unos rashoda i izdataka'!$P$3:$P$501,"=31")+SUMIFS('[1]Unos rashoda P4'!$H$3:$H$501,'[1]Unos rashoda P4'!$A$3:$A$501,"=71",'[1]Unos rashoda P4'!$S$3:$S$501,"=31")</f>
        <v>0</v>
      </c>
      <c r="W6" s="56">
        <f>SUMIFS('[1]Unos rashoda i izdataka'!$J$3:$J$501,'[1]Unos rashoda i izdataka'!$C$3:$C$501,"=81",'[1]Unos rashoda i izdataka'!$P$3:$P$501,"=31")+SUMIFS('[1]Unos rashoda P4'!$H$3:$H$501,'[1]Unos rashoda P4'!$A$3:$A$501,"=81",'[1]Unos rashoda P4'!$S$3:$S$501,"=31")</f>
        <v>0</v>
      </c>
    </row>
    <row r="7" spans="1:23" x14ac:dyDescent="0.25">
      <c r="A7" s="47">
        <v>2023</v>
      </c>
      <c r="B7" s="57">
        <v>32</v>
      </c>
      <c r="C7" s="58" t="s">
        <v>135</v>
      </c>
      <c r="D7" s="59">
        <f t="shared" si="1"/>
        <v>3041210</v>
      </c>
      <c r="E7" s="56">
        <v>2032342</v>
      </c>
      <c r="F7" s="56"/>
      <c r="G7" s="56">
        <f>SUMIFS('[1]Unos rashoda i izdataka'!$J$3:$J$501,'[1]Unos rashoda i izdataka'!$C$3:$C$501,"=31",'[1]Unos rashoda i izdataka'!$P$3:$P$501,"=32")+SUMIFS('[1]Unos rashoda P4'!$H$3:$H$501,'[1]Unos rashoda P4'!$A$3:$A$501,"=31",'[1]Unos rashoda P4'!$S$3:$S$501,"=32")</f>
        <v>27736</v>
      </c>
      <c r="H7" s="56">
        <f>SUMIFS('[1]Unos rashoda i izdataka'!$J$3:$J$501,'[1]Unos rashoda i izdataka'!$C$3:$C$501,"=41",'[1]Unos rashoda i izdataka'!$P$3:$P$501,"=32")+SUMIFS('[1]Unos rashoda P4'!$H$3:$H$501,'[1]Unos rashoda P4'!$A$3:$A$501,"=41",'[1]Unos rashoda P4'!$S$3:$S$501,"=32")</f>
        <v>0</v>
      </c>
      <c r="I7" s="56">
        <f>SUMIFS('[1]Unos rashoda i izdataka'!$J$3:$J$501,'[1]Unos rashoda i izdataka'!$C$3:$C$501,"=43",'[1]Unos rashoda i izdataka'!$P$3:$P$501,"=32")+SUMIFS('[1]Unos rashoda P4'!$H$3:$H$501,'[1]Unos rashoda P4'!$A$3:$A$501,"=43",'[1]Unos rashoda P4'!$S$3:$S$501,"=32")</f>
        <v>580564</v>
      </c>
      <c r="J7" s="56">
        <v>174669</v>
      </c>
      <c r="K7" s="56">
        <v>225899</v>
      </c>
      <c r="L7" s="56">
        <f>SUMIFS('[1]Unos rashoda i izdataka'!$J$3:$J$501,'[1]Unos rashoda i izdataka'!$C$3:$C$501,"=552",'[1]Unos rashoda i izdataka'!$P$3:$P$501,"=32")+SUMIFS('[1]Unos rashoda P4'!$H$3:$H$501,'[1]Unos rashoda P4'!$A$3:$A$501,"=552",'[1]Unos rashoda P4'!$S$3:$S$501,"=32")</f>
        <v>0</v>
      </c>
      <c r="M7" s="56">
        <f>SUMIFS('[1]Unos rashoda i izdataka'!$J$3:$J$501,'[1]Unos rashoda i izdataka'!$C$3:$C$501,"=559",'[1]Unos rashoda i izdataka'!$P$3:$P$501,"=32")+SUMIFS('[1]Unos rashoda P4'!$H$3:$H$501,'[1]Unos rashoda P4'!$A$3:$A$501,"=559",'[1]Unos rashoda P4'!$S$3:$S$501,"=32")</f>
        <v>0</v>
      </c>
      <c r="N7" s="56"/>
      <c r="O7" s="56"/>
      <c r="P7" s="56">
        <f>SUMIFS('[1]Unos rashoda i izdataka'!$J$3:$J$501,'[1]Unos rashoda i izdataka'!$C$3:$C$501,"=573",'[1]Unos rashoda i izdataka'!$P$3:$P$501,"=32")+SUMIFS('[1]Unos rashoda P4'!$H$3:$H$501,'[1]Unos rashoda P4'!$A$3:$A$501,"=573",'[1]Unos rashoda P4'!$S$3:$S$501,"=32")</f>
        <v>0</v>
      </c>
      <c r="Q7" s="56">
        <f>SUMIFS('[1]Unos rashoda i izdataka'!$J$3:$J$501,'[1]Unos rashoda i izdataka'!$C$3:$C$501,"=575",'[1]Unos rashoda i izdataka'!$P$3:$P$501,"=32")+SUMIFS('[1]Unos rashoda P4'!$H$3:$H$501,'[1]Unos rashoda P4'!$A$3:$A$501,"=575",'[1]Unos rashoda P4'!$S$3:$S$501,"=32")</f>
        <v>0</v>
      </c>
      <c r="R7" s="56">
        <f>SUMIFS('[1]Unos rashoda i izdataka'!$J$3:$J$501,'[1]Unos rashoda i izdataka'!$Q$3:$Q$501,"=576",'[1]Unos rashoda i izdataka'!$P$3:$P$501,"=32")+SUMIFS('[1]Unos rashoda P4'!$H$3:$H$501,'[1]Unos rashoda P4'!$A$3:$A$501,"=576",'[1]Unos rashoda P4'!$S$3:$S$501,"=32")</f>
        <v>0</v>
      </c>
      <c r="S7" s="56">
        <f>SUMIFS('[1]Unos rashoda i izdataka'!$J$3:$J$501,'[1]Unos rashoda i izdataka'!$C$3:$C$501,"=581",'[1]Unos rashoda i izdataka'!$P$3:$P$501,"=32")+SUMIFS('[1]Unos rashoda P4'!$H$3:$H$501,'[1]Unos rashoda P4'!$A$3:$A$501,"=581",'[1]Unos rashoda P4'!$S$3:$S$501,"=32")</f>
        <v>0</v>
      </c>
      <c r="T7" s="56"/>
      <c r="U7" s="56">
        <f>SUMIFS('[1]Unos rashoda i izdataka'!$J$3:$J$501,'[1]Unos rashoda i izdataka'!$C$3:$C$501,"=63",'[1]Unos rashoda i izdataka'!$P$3:$P$501,"=32")+SUMIFS('[1]Unos rashoda P4'!$H$3:$H$501,'[1]Unos rashoda P4'!$A$3:$A$501,"=63",'[1]Unos rashoda P4'!$S$3:$S$501,"=32")</f>
        <v>0</v>
      </c>
      <c r="V7" s="56">
        <f>SUMIFS('[1]Unos rashoda i izdataka'!$J$3:$J$501,'[1]Unos rashoda i izdataka'!$C$3:$C$501,"=71",'[1]Unos rashoda i izdataka'!$P$3:$P$501,"=32")+SUMIFS('[1]Unos rashoda P4'!$H$3:$H$501,'[1]Unos rashoda P4'!$A$3:$A$501,"=71",'[1]Unos rashoda P4'!$S$3:$S$501,"=32")</f>
        <v>0</v>
      </c>
      <c r="W7" s="56">
        <f>SUMIFS('[1]Unos rashoda i izdataka'!$J$3:$J$501,'[1]Unos rashoda i izdataka'!$C$3:$C$501,"=81",'[1]Unos rashoda i izdataka'!$P$3:$P$501,"=32")+SUMIFS('[1]Unos rashoda P4'!$H$3:$H$501,'[1]Unos rashoda P4'!$A$3:$A$501,"=81",'[1]Unos rashoda P4'!$S$3:$S$501,"=32")</f>
        <v>0</v>
      </c>
    </row>
    <row r="8" spans="1:23" x14ac:dyDescent="0.25">
      <c r="A8" s="47">
        <v>2023</v>
      </c>
      <c r="B8" s="57">
        <v>34</v>
      </c>
      <c r="C8" s="58" t="s">
        <v>136</v>
      </c>
      <c r="D8" s="59">
        <f t="shared" si="1"/>
        <v>33764</v>
      </c>
      <c r="E8" s="56">
        <v>6564</v>
      </c>
      <c r="F8" s="56">
        <f>SUMIFS('[1]Unos rashoda i izdataka'!$J$3:$J$501,'[1]Unos rashoda i izdataka'!$C$3:$C$501,"=12",'[1]Unos rashoda i izdataka'!$P$3:$P$501,"=34")+SUMIFS('[1]Unos rashoda P4'!$H$3:$H$501,'[1]Unos rashoda P4'!$A$3:$A$501,"=12",'[1]Unos rashoda P4'!$S$3:$S$501,"=34")</f>
        <v>0</v>
      </c>
      <c r="G8" s="56">
        <f>SUMIFS('[1]Unos rashoda i izdataka'!$J$3:$J$501,'[1]Unos rashoda i izdataka'!$C$3:$C$501,"=31",'[1]Unos rashoda i izdataka'!$P$3:$P$501,"=34")+SUMIFS('[1]Unos rashoda P4'!$H$3:$H$501,'[1]Unos rashoda P4'!$A$3:$A$501,"=31",'[1]Unos rashoda P4'!$S$3:$S$501,"=34")</f>
        <v>0</v>
      </c>
      <c r="H8" s="56">
        <f>SUMIFS('[1]Unos rashoda i izdataka'!$J$3:$J$501,'[1]Unos rashoda i izdataka'!$C$3:$C$501,"=41",'[1]Unos rashoda i izdataka'!$P$3:$P$501,"=34")+SUMIFS('[1]Unos rashoda P4'!$H$3:$H$501,'[1]Unos rashoda P4'!$A$3:$A$501,"=41",'[1]Unos rashoda P4'!$S$3:$S$501,"=34")</f>
        <v>0</v>
      </c>
      <c r="I8" s="56">
        <f>SUMIFS('[1]Unos rashoda i izdataka'!$J$3:$J$501,'[1]Unos rashoda i izdataka'!$C$3:$C$501,"=43",'[1]Unos rashoda i izdataka'!$P$3:$P$501,"=34")+SUMIFS('[1]Unos rashoda P4'!$H$3:$H$501,'[1]Unos rashoda P4'!$A$3:$A$501,"=43",'[1]Unos rashoda P4'!$S$3:$S$501,"=34")</f>
        <v>25040</v>
      </c>
      <c r="J8" s="56">
        <f>SUMIFS('[1]Unos rashoda i izdataka'!$J$3:$J$501,'[1]Unos rashoda i izdataka'!$C$3:$C$501,"=51",'[1]Unos rashoda i izdataka'!$P$3:$P$501,"=34")+SUMIFS('[1]Unos rashoda P4'!$H$3:$H$501,'[1]Unos rashoda P4'!$A$3:$A$501,"=51",'[1]Unos rashoda P4'!$S$3:$S$501,"=34")</f>
        <v>0</v>
      </c>
      <c r="K8" s="56">
        <f>SUMIFS('[1]Unos rashoda i izdataka'!$J$3:$J$501,'[1]Unos rashoda i izdataka'!$C$3:$C$501,"=52",'[1]Unos rashoda i izdataka'!$P$3:$P$501,"=34")+SUMIFS('[1]Unos rashoda P4'!$H$3:$H$501,'[1]Unos rashoda P4'!$A$3:$A$501,"=52",'[1]Unos rashoda P4'!$S$3:$S$501,"=34")</f>
        <v>2160</v>
      </c>
      <c r="L8" s="56">
        <f>SUMIFS('[1]Unos rashoda i izdataka'!$J$3:$J$501,'[1]Unos rashoda i izdataka'!$C$3:$C$501,"=552",'[1]Unos rashoda i izdataka'!$P$3:$P$501,"=34")+SUMIFS('[1]Unos rashoda P4'!$H$3:$H$501,'[1]Unos rashoda P4'!$A$3:$A$501,"=552",'[1]Unos rashoda P4'!$S$3:$S$501,"=34")</f>
        <v>0</v>
      </c>
      <c r="M8" s="56">
        <f>SUMIFS('[1]Unos rashoda i izdataka'!$J$3:$J$501,'[1]Unos rashoda i izdataka'!$C$3:$C$501,"=559",'[1]Unos rashoda i izdataka'!$P$3:$P$501,"=34")+SUMIFS('[1]Unos rashoda P4'!$H$3:$H$501,'[1]Unos rashoda P4'!$A$3:$A$501,"=559",'[1]Unos rashoda P4'!$S$3:$S$501,"=34")</f>
        <v>0</v>
      </c>
      <c r="N8" s="56">
        <f>SUMIFS('[1]Unos rashoda i izdataka'!$J$3:$J$501,'[1]Unos rashoda i izdataka'!$C$3:$C$501,"=561",'[1]Unos rashoda i izdataka'!$P$3:$P$501,"=34")+SUMIFS('[1]Unos rashoda P4'!$H$3:$H$501,'[1]Unos rashoda P4'!$A$3:$A$501,"=561",'[1]Unos rashoda P4'!$S$3:$S$501,"=34")</f>
        <v>0</v>
      </c>
      <c r="O8" s="56">
        <f>SUMIFS('[1]Unos rashoda i izdataka'!$J$3:$J$501,'[1]Unos rashoda i izdataka'!$C$3:$C$501,"=563",'[1]Unos rashoda i izdataka'!$P$3:$P$501,"=34")+SUMIFS('[1]Unos rashoda P4'!$H$3:$H$501,'[1]Unos rashoda P4'!$A$3:$A$501,"=563",'[1]Unos rashoda P4'!$S$3:$S$501,"=34")</f>
        <v>0</v>
      </c>
      <c r="P8" s="56">
        <f>SUMIFS('[1]Unos rashoda i izdataka'!$J$3:$J$501,'[1]Unos rashoda i izdataka'!$C$3:$C$501,"=573",'[1]Unos rashoda i izdataka'!$P$3:$P$501,"=34")+SUMIFS('[1]Unos rashoda P4'!$H$3:$H$501,'[1]Unos rashoda P4'!$A$3:$A$501,"=573",'[1]Unos rashoda P4'!$S$3:$S$501,"=34")</f>
        <v>0</v>
      </c>
      <c r="Q8" s="56">
        <f>SUMIFS('[1]Unos rashoda i izdataka'!$J$3:$J$501,'[1]Unos rashoda i izdataka'!$C$3:$C$501,"=575",'[1]Unos rashoda i izdataka'!$P$3:$P$501,"=34")+SUMIFS('[1]Unos rashoda P4'!$H$3:$H$501,'[1]Unos rashoda P4'!$A$3:$A$501,"=575",'[1]Unos rashoda P4'!$S$3:$S$501,"=34")</f>
        <v>0</v>
      </c>
      <c r="R8" s="56">
        <f>SUMIFS('[1]Unos rashoda i izdataka'!$J$3:$J$501,'[1]Unos rashoda i izdataka'!$Q$3:$Q$501,"=576",'[1]Unos rashoda i izdataka'!$P$3:$P$501,"=34")+SUMIFS('[1]Unos rashoda P4'!$H$3:$H$501,'[1]Unos rashoda P4'!$A$3:$A$501,"=576",'[1]Unos rashoda P4'!$S$3:$S$501,"=34")</f>
        <v>0</v>
      </c>
      <c r="S8" s="56">
        <f>SUMIFS('[1]Unos rashoda i izdataka'!$J$3:$J$501,'[1]Unos rashoda i izdataka'!$C$3:$C$501,"=581",'[1]Unos rashoda i izdataka'!$P$3:$P$501,"=34")+SUMIFS('[1]Unos rashoda P4'!$H$3:$H$501,'[1]Unos rashoda P4'!$A$3:$A$501,"=581",'[1]Unos rashoda P4'!$S$3:$S$501,"=34")</f>
        <v>0</v>
      </c>
      <c r="T8" s="56">
        <f>SUMIFS('[1]Unos rashoda i izdataka'!$J$3:$J$501,'[1]Unos rashoda i izdataka'!$C$3:$C$501,"=61",'[1]Unos rashoda i izdataka'!$P$3:$P$501,"=34")+SUMIFS('[1]Unos rashoda P4'!$H$3:$H$501,'[1]Unos rashoda P4'!$A$3:$A$501,"=61",'[1]Unos rashoda P4'!$S$3:$S$501,"=34")</f>
        <v>0</v>
      </c>
      <c r="U8" s="56">
        <f>SUMIFS('[1]Unos rashoda i izdataka'!$J$3:$J$501,'[1]Unos rashoda i izdataka'!$C$3:$C$501,"=63",'[1]Unos rashoda i izdataka'!$P$3:$P$501,"=34")+SUMIFS('[1]Unos rashoda P4'!$H$3:$H$501,'[1]Unos rashoda P4'!$A$3:$A$501,"=63",'[1]Unos rashoda P4'!$S$3:$S$501,"=34")</f>
        <v>0</v>
      </c>
      <c r="V8" s="56">
        <f>SUMIFS('[1]Unos rashoda i izdataka'!$J$3:$J$501,'[1]Unos rashoda i izdataka'!$C$3:$C$501,"=71",'[1]Unos rashoda i izdataka'!$P$3:$P$501,"=34")+SUMIFS('[1]Unos rashoda P4'!$H$3:$H$501,'[1]Unos rashoda P4'!$A$3:$A$501,"=71",'[1]Unos rashoda P4'!$S$3:$S$501,"=34")</f>
        <v>0</v>
      </c>
      <c r="W8" s="56">
        <f>SUMIFS('[1]Unos rashoda i izdataka'!$J$3:$J$501,'[1]Unos rashoda i izdataka'!$C$3:$C$501,"=81",'[1]Unos rashoda i izdataka'!$P$3:$P$501,"=34")+SUMIFS('[1]Unos rashoda P4'!$H$3:$H$501,'[1]Unos rashoda P4'!$A$3:$A$501,"=81",'[1]Unos rashoda P4'!$S$3:$S$501,"=34")</f>
        <v>0</v>
      </c>
    </row>
    <row r="9" spans="1:23" x14ac:dyDescent="0.25">
      <c r="A9" s="47">
        <v>2023</v>
      </c>
      <c r="B9" s="57">
        <v>35</v>
      </c>
      <c r="C9" s="58" t="s">
        <v>137</v>
      </c>
      <c r="D9" s="59">
        <f t="shared" si="1"/>
        <v>0</v>
      </c>
      <c r="E9" s="56">
        <f>SUMIFS('[1]Unos rashoda i izdataka'!$J$3:$J$501,'[1]Unos rashoda i izdataka'!$C$3:$C$501,"=11",'[1]Unos rashoda i izdataka'!$P$3:$P$501,"=35")+SUMIFS('[1]Unos rashoda P4'!$H$3:$H$501,'[1]Unos rashoda P4'!$A$3:$A$501,"=11",'[1]Unos rashoda P4'!$S$3:$S$501,"=35")</f>
        <v>0</v>
      </c>
      <c r="F9" s="56">
        <f>SUMIFS('[1]Unos rashoda i izdataka'!$J$3:$J$501,'[1]Unos rashoda i izdataka'!$C$3:$C$501,"=12",'[1]Unos rashoda i izdataka'!$P$3:$P$501,"=35")+SUMIFS('[1]Unos rashoda P4'!$H$3:$H$501,'[1]Unos rashoda P4'!$A$3:$A$501,"=12",'[1]Unos rashoda P4'!$S$3:$S$501,"=35")</f>
        <v>0</v>
      </c>
      <c r="G9" s="56">
        <f>SUMIFS('[1]Unos rashoda i izdataka'!$J$3:$J$501,'[1]Unos rashoda i izdataka'!$C$3:$C$501,"=31",'[1]Unos rashoda i izdataka'!$P$3:$P$501,"=35")+SUMIFS('[1]Unos rashoda P4'!$H$3:$H$501,'[1]Unos rashoda P4'!$A$3:$A$501,"=31",'[1]Unos rashoda P4'!$S$3:$S$501,"=35")</f>
        <v>0</v>
      </c>
      <c r="H9" s="56">
        <f>SUMIFS('[1]Unos rashoda i izdataka'!$J$3:$J$501,'[1]Unos rashoda i izdataka'!$C$3:$C$501,"=41",'[1]Unos rashoda i izdataka'!$P$3:$P$501,"=35")+SUMIFS('[1]Unos rashoda P4'!$H$3:$H$501,'[1]Unos rashoda P4'!$A$3:$A$501,"=41",'[1]Unos rashoda P4'!$S$3:$S$501,"=35")</f>
        <v>0</v>
      </c>
      <c r="I9" s="56">
        <f>SUMIFS('[1]Unos rashoda i izdataka'!$J$3:$J$501,'[1]Unos rashoda i izdataka'!$C$3:$C$501,"=43",'[1]Unos rashoda i izdataka'!$P$3:$P$501,"=35")+SUMIFS('[1]Unos rashoda P4'!$H$3:$H$501,'[1]Unos rashoda P4'!$A$3:$A$501,"=43",'[1]Unos rashoda P4'!$S$3:$S$501,"=35")</f>
        <v>0</v>
      </c>
      <c r="J9" s="56">
        <f>SUMIFS('[1]Unos rashoda i izdataka'!$J$3:$J$501,'[1]Unos rashoda i izdataka'!$C$3:$C$501,"=51",'[1]Unos rashoda i izdataka'!$P$3:$P$501,"=35")+SUMIFS('[1]Unos rashoda P4'!$H$3:$H$501,'[1]Unos rashoda P4'!$A$3:$A$501,"=51",'[1]Unos rashoda P4'!$S$3:$S$501,"=35")</f>
        <v>0</v>
      </c>
      <c r="K9" s="56">
        <f>SUMIFS('[1]Unos rashoda i izdataka'!$J$3:$J$501,'[1]Unos rashoda i izdataka'!$C$3:$C$501,"=52",'[1]Unos rashoda i izdataka'!$P$3:$P$501,"=35")+SUMIFS('[1]Unos rashoda P4'!$H$3:$H$501,'[1]Unos rashoda P4'!$A$3:$A$501,"=52",'[1]Unos rashoda P4'!$S$3:$S$501,"=35")</f>
        <v>0</v>
      </c>
      <c r="L9" s="56">
        <f>SUMIFS('[1]Unos rashoda i izdataka'!$J$3:$J$501,'[1]Unos rashoda i izdataka'!$C$3:$C$501,"=552",'[1]Unos rashoda i izdataka'!$P$3:$P$501,"=35")+SUMIFS('[1]Unos rashoda P4'!$H$3:$H$501,'[1]Unos rashoda P4'!$A$3:$A$501,"=552",'[1]Unos rashoda P4'!$S$3:$S$501,"=35")</f>
        <v>0</v>
      </c>
      <c r="M9" s="56">
        <f>SUMIFS('[1]Unos rashoda i izdataka'!$J$3:$J$501,'[1]Unos rashoda i izdataka'!$C$3:$C$501,"=559",'[1]Unos rashoda i izdataka'!$P$3:$P$501,"=35")+SUMIFS('[1]Unos rashoda P4'!$H$3:$H$501,'[1]Unos rashoda P4'!$A$3:$A$501,"=559",'[1]Unos rashoda P4'!$S$3:$S$501,"=35")</f>
        <v>0</v>
      </c>
      <c r="N9" s="56">
        <f>SUMIFS('[1]Unos rashoda i izdataka'!$J$3:$J$501,'[1]Unos rashoda i izdataka'!$C$3:$C$501,"=561",'[1]Unos rashoda i izdataka'!$P$3:$P$501,"=35")+SUMIFS('[1]Unos rashoda P4'!$H$3:$H$501,'[1]Unos rashoda P4'!$A$3:$A$501,"=561",'[1]Unos rashoda P4'!$S$3:$S$501,"=35")</f>
        <v>0</v>
      </c>
      <c r="O9" s="56">
        <f>SUMIFS('[1]Unos rashoda i izdataka'!$J$3:$J$501,'[1]Unos rashoda i izdataka'!$C$3:$C$501,"=563",'[1]Unos rashoda i izdataka'!$P$3:$P$501,"=35")+SUMIFS('[1]Unos rashoda P4'!$H$3:$H$501,'[1]Unos rashoda P4'!$A$3:$A$501,"=563",'[1]Unos rashoda P4'!$S$3:$S$501,"=35")</f>
        <v>0</v>
      </c>
      <c r="P9" s="56">
        <f>SUMIFS('[1]Unos rashoda i izdataka'!$J$3:$J$501,'[1]Unos rashoda i izdataka'!$C$3:$C$501,"=573",'[1]Unos rashoda i izdataka'!$P$3:$P$501,"=35")+SUMIFS('[1]Unos rashoda P4'!$H$3:$H$501,'[1]Unos rashoda P4'!$A$3:$A$501,"=573",'[1]Unos rashoda P4'!$S$3:$S$501,"=35")</f>
        <v>0</v>
      </c>
      <c r="Q9" s="56">
        <f>SUMIFS('[1]Unos rashoda i izdataka'!$J$3:$J$501,'[1]Unos rashoda i izdataka'!$C$3:$C$501,"=575",'[1]Unos rashoda i izdataka'!$P$3:$P$501,"=35")+SUMIFS('[1]Unos rashoda P4'!$H$3:$H$501,'[1]Unos rashoda P4'!$A$3:$A$501,"=575",'[1]Unos rashoda P4'!$S$3:$S$501,"=35")</f>
        <v>0</v>
      </c>
      <c r="R9" s="56">
        <f>SUMIFS('[1]Unos rashoda i izdataka'!$J$3:$J$501,'[1]Unos rashoda i izdataka'!$Q$3:$Q$501,"=576",'[1]Unos rashoda i izdataka'!$P$3:$P$501,"=35")+SUMIFS('[1]Unos rashoda P4'!$H$3:$H$501,'[1]Unos rashoda P4'!$A$3:$A$501,"=576",'[1]Unos rashoda P4'!$S$3:$S$501,"=35")</f>
        <v>0</v>
      </c>
      <c r="S9" s="56">
        <f>SUMIFS('[1]Unos rashoda i izdataka'!$J$3:$J$501,'[1]Unos rashoda i izdataka'!$C$3:$C$501,"=581",'[1]Unos rashoda i izdataka'!$P$3:$P$501,"=35")+SUMIFS('[1]Unos rashoda P4'!$H$3:$H$501,'[1]Unos rashoda P4'!$A$3:$A$501,"=581",'[1]Unos rashoda P4'!$S$3:$S$501,"=35")</f>
        <v>0</v>
      </c>
      <c r="T9" s="56">
        <f>SUMIFS('[1]Unos rashoda i izdataka'!$J$3:$J$501,'[1]Unos rashoda i izdataka'!$C$3:$C$501,"=61",'[1]Unos rashoda i izdataka'!$P$3:$P$501,"=35")+SUMIFS('[1]Unos rashoda P4'!$H$3:$H$501,'[1]Unos rashoda P4'!$A$3:$A$501,"=61",'[1]Unos rashoda P4'!$S$3:$S$501,"=35")</f>
        <v>0</v>
      </c>
      <c r="U9" s="56">
        <f>SUMIFS('[1]Unos rashoda i izdataka'!$J$3:$J$501,'[1]Unos rashoda i izdataka'!$C$3:$C$501,"=63",'[1]Unos rashoda i izdataka'!$P$3:$P$501,"=35")+SUMIFS('[1]Unos rashoda P4'!$H$3:$H$501,'[1]Unos rashoda P4'!$A$3:$A$501,"=63",'[1]Unos rashoda P4'!$S$3:$S$501,"=35")</f>
        <v>0</v>
      </c>
      <c r="V9" s="56">
        <f>SUMIFS('[1]Unos rashoda i izdataka'!$J$3:$J$501,'[1]Unos rashoda i izdataka'!$C$3:$C$501,"=71",'[1]Unos rashoda i izdataka'!$P$3:$P$501,"=35")+SUMIFS('[1]Unos rashoda P4'!$H$3:$H$501,'[1]Unos rashoda P4'!$A$3:$A$501,"=71",'[1]Unos rashoda P4'!$S$3:$S$501,"=35")</f>
        <v>0</v>
      </c>
      <c r="W9" s="56">
        <f>SUMIFS('[1]Unos rashoda i izdataka'!$J$3:$J$501,'[1]Unos rashoda i izdataka'!$C$3:$C$501,"=81",'[1]Unos rashoda i izdataka'!$P$3:$P$501,"=35")+SUMIFS('[1]Unos rashoda P4'!$H$3:$H$501,'[1]Unos rashoda P4'!$A$3:$A$501,"=81",'[1]Unos rashoda P4'!$S$3:$S$501,"=35")</f>
        <v>0</v>
      </c>
    </row>
    <row r="10" spans="1:23" x14ac:dyDescent="0.25">
      <c r="A10" s="47">
        <v>2023</v>
      </c>
      <c r="B10" s="57">
        <v>36</v>
      </c>
      <c r="C10" s="60" t="s">
        <v>138</v>
      </c>
      <c r="D10" s="59">
        <f t="shared" si="1"/>
        <v>1332269</v>
      </c>
      <c r="E10" s="56">
        <v>142446</v>
      </c>
      <c r="F10" s="56"/>
      <c r="G10" s="56">
        <f>SUMIFS('[1]Unos rashoda i izdataka'!$J$3:$J$501,'[1]Unos rashoda i izdataka'!$C$3:$C$501,"=31",'[1]Unos rashoda i izdataka'!$P$3:$P$501,"=36")+SUMIFS('[1]Unos rashoda P4'!$H$3:$H$501,'[1]Unos rashoda P4'!$A$3:$A$501,"=31",'[1]Unos rashoda P4'!$S$3:$S$501,"=36")</f>
        <v>0</v>
      </c>
      <c r="H10" s="56">
        <f>SUMIFS('[1]Unos rashoda i izdataka'!$J$3:$J$501,'[1]Unos rashoda i izdataka'!$C$3:$C$501,"=41",'[1]Unos rashoda i izdataka'!$P$3:$P$501,"=36")+SUMIFS('[1]Unos rashoda P4'!$H$3:$H$501,'[1]Unos rashoda P4'!$A$3:$A$501,"=41",'[1]Unos rashoda P4'!$S$3:$S$501,"=36")</f>
        <v>0</v>
      </c>
      <c r="I10" s="56">
        <f>SUMIFS('[1]Unos rashoda i izdataka'!$J$3:$J$501,'[1]Unos rashoda i izdataka'!$C$3:$C$501,"=43",'[1]Unos rashoda i izdataka'!$P$3:$P$501,"=36")+SUMIFS('[1]Unos rashoda P4'!$H$3:$H$501,'[1]Unos rashoda P4'!$A$3:$A$501,"=43",'[1]Unos rashoda P4'!$S$3:$S$501,"=36")</f>
        <v>92460</v>
      </c>
      <c r="J10" s="56">
        <f>SUMIFS('[1]Unos rashoda i izdataka'!$J$3:$J$501,'[1]Unos rashoda i izdataka'!$C$3:$C$501,"=51",'[1]Unos rashoda i izdataka'!$P$3:$P$501,"=36")+SUMIFS('[1]Unos rashoda P4'!$H$3:$H$501,'[1]Unos rashoda P4'!$A$3:$A$501,"=51",'[1]Unos rashoda P4'!$S$3:$S$501,"=36")</f>
        <v>314211</v>
      </c>
      <c r="K10" s="56">
        <v>783152</v>
      </c>
      <c r="L10" s="56">
        <f>SUMIFS('[1]Unos rashoda i izdataka'!$J$3:$J$501,'[1]Unos rashoda i izdataka'!$C$3:$C$501,"=552",'[1]Unos rashoda i izdataka'!$P$3:$P$501,"=36")+SUMIFS('[1]Unos rashoda P4'!$H$3:$H$501,'[1]Unos rashoda P4'!$A$3:$A$501,"=552",'[1]Unos rashoda P4'!$S$3:$S$501,"=36")</f>
        <v>0</v>
      </c>
      <c r="M10" s="56">
        <f>SUMIFS('[1]Unos rashoda i izdataka'!$J$3:$J$501,'[1]Unos rashoda i izdataka'!$C$3:$C$501,"=559",'[1]Unos rashoda i izdataka'!$P$3:$P$501,"=36")+SUMIFS('[1]Unos rashoda P4'!$H$3:$H$501,'[1]Unos rashoda P4'!$A$3:$A$501,"=559",'[1]Unos rashoda P4'!$S$3:$S$501,"=36")</f>
        <v>0</v>
      </c>
      <c r="N10" s="56"/>
      <c r="O10" s="56"/>
      <c r="P10" s="56">
        <f>SUMIFS('[1]Unos rashoda i izdataka'!$J$3:$J$501,'[1]Unos rashoda i izdataka'!$C$3:$C$501,"=573",'[1]Unos rashoda i izdataka'!$P$3:$P$501,"=36")+SUMIFS('[1]Unos rashoda P4'!$H$3:$H$501,'[1]Unos rashoda P4'!$A$3:$A$501,"=573",'[1]Unos rashoda P4'!$S$3:$S$501,"=36")</f>
        <v>0</v>
      </c>
      <c r="Q10" s="56">
        <f>SUMIFS('[1]Unos rashoda i izdataka'!$J$3:$J$501,'[1]Unos rashoda i izdataka'!$C$3:$C$501,"=575",'[1]Unos rashoda i izdataka'!$P$3:$P$501,"=36")+SUMIFS('[1]Unos rashoda P4'!$H$3:$H$501,'[1]Unos rashoda P4'!$A$3:$A$501,"=575",'[1]Unos rashoda P4'!$S$3:$S$501,"=36")</f>
        <v>0</v>
      </c>
      <c r="R10" s="56">
        <f>SUMIFS('[1]Unos rashoda i izdataka'!$J$3:$J$501,'[1]Unos rashoda i izdataka'!$Q$3:$Q$501,"=576",'[1]Unos rashoda i izdataka'!$P$3:$P$501,"=36")+SUMIFS('[1]Unos rashoda P4'!$H$3:$H$501,'[1]Unos rashoda P4'!$A$3:$A$501,"=576",'[1]Unos rashoda P4'!$S$3:$S$501,"=36")</f>
        <v>0</v>
      </c>
      <c r="S10" s="56">
        <f>SUMIFS('[1]Unos rashoda i izdataka'!$J$3:$J$501,'[1]Unos rashoda i izdataka'!$C$3:$C$501,"=581",'[1]Unos rashoda i izdataka'!$P$3:$P$501,"=36")+SUMIFS('[1]Unos rashoda P4'!$H$3:$H$501,'[1]Unos rashoda P4'!$A$3:$A$501,"=581",'[1]Unos rashoda P4'!$S$3:$S$501,"=36")</f>
        <v>0</v>
      </c>
      <c r="T10" s="56"/>
      <c r="U10" s="56">
        <f>SUMIFS('[1]Unos rashoda i izdataka'!$J$3:$J$501,'[1]Unos rashoda i izdataka'!$C$3:$C$501,"=63",'[1]Unos rashoda i izdataka'!$P$3:$P$501,"=36")+SUMIFS('[1]Unos rashoda P4'!$H$3:$H$501,'[1]Unos rashoda P4'!$A$3:$A$501,"=63",'[1]Unos rashoda P4'!$S$3:$S$501,"=36")</f>
        <v>0</v>
      </c>
      <c r="V10" s="56">
        <f>SUMIFS('[1]Unos rashoda i izdataka'!$J$3:$J$501,'[1]Unos rashoda i izdataka'!$C$3:$C$501,"=71",'[1]Unos rashoda i izdataka'!$P$3:$P$501,"=36")+SUMIFS('[1]Unos rashoda P4'!$H$3:$H$501,'[1]Unos rashoda P4'!$A$3:$A$501,"=71",'[1]Unos rashoda P4'!$S$3:$S$501,"=36")</f>
        <v>0</v>
      </c>
      <c r="W10" s="56">
        <f>SUMIFS('[1]Unos rashoda i izdataka'!$J$3:$J$501,'[1]Unos rashoda i izdataka'!$C$3:$C$501,"=81",'[1]Unos rashoda i izdataka'!$P$3:$P$501,"=36")+SUMIFS('[1]Unos rashoda P4'!$H$3:$H$501,'[1]Unos rashoda P4'!$A$3:$A$501,"=81",'[1]Unos rashoda P4'!$S$3:$S$501,"=36")</f>
        <v>0</v>
      </c>
    </row>
    <row r="11" spans="1:23" x14ac:dyDescent="0.25">
      <c r="A11" s="47">
        <v>2023</v>
      </c>
      <c r="B11" s="57">
        <v>37</v>
      </c>
      <c r="C11" s="58" t="s">
        <v>139</v>
      </c>
      <c r="D11" s="59">
        <f t="shared" si="1"/>
        <v>467913</v>
      </c>
      <c r="E11" s="56">
        <f>SUMIFS('[1]Unos rashoda i izdataka'!$J$3:$J$501,'[1]Unos rashoda i izdataka'!$C$3:$C$501,"=11",'[1]Unos rashoda i izdataka'!$P$3:$P$501,"=37")+SUMIFS('[1]Unos rashoda P4'!$H$3:$H$501,'[1]Unos rashoda P4'!$A$3:$A$501,"=11",'[1]Unos rashoda P4'!$S$3:$S$501,"=37")</f>
        <v>0</v>
      </c>
      <c r="F11" s="56">
        <f>SUMIFS('[1]Unos rashoda i izdataka'!$J$3:$J$501,'[1]Unos rashoda i izdataka'!$C$3:$C$501,"=12",'[1]Unos rashoda i izdataka'!$P$3:$P$501,"=37")+SUMIFS('[1]Unos rashoda P4'!$H$3:$H$501,'[1]Unos rashoda P4'!$A$3:$A$501,"=12",'[1]Unos rashoda P4'!$S$3:$S$501,"=37")</f>
        <v>0</v>
      </c>
      <c r="G11" s="56">
        <f>SUMIFS('[1]Unos rashoda i izdataka'!$J$3:$J$501,'[1]Unos rashoda i izdataka'!$C$3:$C$501,"=31",'[1]Unos rashoda i izdataka'!$P$3:$P$501,"=37")+SUMIFS('[1]Unos rashoda P4'!$H$3:$H$501,'[1]Unos rashoda P4'!$A$3:$A$501,"=31",'[1]Unos rashoda P4'!$S$3:$S$501,"=37")</f>
        <v>0</v>
      </c>
      <c r="H11" s="56">
        <f>SUMIFS('[1]Unos rashoda i izdataka'!$J$3:$J$501,'[1]Unos rashoda i izdataka'!$C$3:$C$501,"=41",'[1]Unos rashoda i izdataka'!$P$3:$P$501,"=37")+SUMIFS('[1]Unos rashoda P4'!$H$3:$H$501,'[1]Unos rashoda P4'!$A$3:$A$501,"=41",'[1]Unos rashoda P4'!$S$3:$S$501,"=37")</f>
        <v>0</v>
      </c>
      <c r="I11" s="56">
        <f>SUMIFS('[1]Unos rashoda i izdataka'!$J$3:$J$501,'[1]Unos rashoda i izdataka'!$C$3:$C$501,"=43",'[1]Unos rashoda i izdataka'!$P$3:$P$501,"=37")+SUMIFS('[1]Unos rashoda P4'!$H$3:$H$501,'[1]Unos rashoda P4'!$A$3:$A$501,"=43",'[1]Unos rashoda P4'!$S$3:$S$501,"=37")</f>
        <v>1990</v>
      </c>
      <c r="J11" s="56">
        <f>SUMIFS('[1]Unos rashoda i izdataka'!$J$3:$J$501,'[1]Unos rashoda i izdataka'!$C$3:$C$501,"=51",'[1]Unos rashoda i izdataka'!$P$3:$P$501,"=37")+SUMIFS('[1]Unos rashoda P4'!$H$3:$H$501,'[1]Unos rashoda P4'!$A$3:$A$501,"=51",'[1]Unos rashoda P4'!$S$3:$S$501,"=37")</f>
        <v>0</v>
      </c>
      <c r="K11" s="56">
        <f>SUMIFS('[1]Unos rashoda i izdataka'!$J$3:$J$501,'[1]Unos rashoda i izdataka'!$C$3:$C$501,"=52",'[1]Unos rashoda i izdataka'!$P$3:$P$501,"=37")+SUMIFS('[1]Unos rashoda P4'!$H$3:$H$501,'[1]Unos rashoda P4'!$A$3:$A$501,"=52",'[1]Unos rashoda P4'!$S$3:$S$501,"=37")</f>
        <v>465923</v>
      </c>
      <c r="L11" s="56">
        <f>SUMIFS('[1]Unos rashoda i izdataka'!$J$3:$J$501,'[1]Unos rashoda i izdataka'!$C$3:$C$501,"=552",'[1]Unos rashoda i izdataka'!$P$3:$P$501,"=37")+SUMIFS('[1]Unos rashoda P4'!$H$3:$H$501,'[1]Unos rashoda P4'!$A$3:$A$501,"=552",'[1]Unos rashoda P4'!$S$3:$S$501,"=37")</f>
        <v>0</v>
      </c>
      <c r="M11" s="56">
        <f>SUMIFS('[1]Unos rashoda i izdataka'!$J$3:$J$501,'[1]Unos rashoda i izdataka'!$C$3:$C$501,"=559",'[1]Unos rashoda i izdataka'!$P$3:$P$501,"=37")+SUMIFS('[1]Unos rashoda P4'!$H$3:$H$501,'[1]Unos rashoda P4'!$A$3:$A$501,"=559",'[1]Unos rashoda P4'!$S$3:$S$501,"=37")</f>
        <v>0</v>
      </c>
      <c r="N11" s="56">
        <f>SUMIFS('[1]Unos rashoda i izdataka'!$J$3:$J$501,'[1]Unos rashoda i izdataka'!$C$3:$C$501,"=561",'[1]Unos rashoda i izdataka'!$P$3:$P$501,"=37")+SUMIFS('[1]Unos rashoda P4'!$H$3:$H$501,'[1]Unos rashoda P4'!$A$3:$A$501,"=561",'[1]Unos rashoda P4'!$S$3:$S$501,"=37")</f>
        <v>0</v>
      </c>
      <c r="O11" s="56">
        <f>SUMIFS('[1]Unos rashoda i izdataka'!$J$3:$J$501,'[1]Unos rashoda i izdataka'!$C$3:$C$501,"=563",'[1]Unos rashoda i izdataka'!$P$3:$P$501,"=37")+SUMIFS('[1]Unos rashoda P4'!$H$3:$H$501,'[1]Unos rashoda P4'!$A$3:$A$501,"=563",'[1]Unos rashoda P4'!$S$3:$S$501,"=37")</f>
        <v>0</v>
      </c>
      <c r="P11" s="56">
        <f>SUMIFS('[1]Unos rashoda i izdataka'!$J$3:$J$501,'[1]Unos rashoda i izdataka'!$C$3:$C$501,"=573",'[1]Unos rashoda i izdataka'!$P$3:$P$501,"=37")+SUMIFS('[1]Unos rashoda P4'!$H$3:$H$501,'[1]Unos rashoda P4'!$A$3:$A$501,"=573",'[1]Unos rashoda P4'!$S$3:$S$501,"=37")</f>
        <v>0</v>
      </c>
      <c r="Q11" s="56">
        <f>SUMIFS('[1]Unos rashoda i izdataka'!$J$3:$J$501,'[1]Unos rashoda i izdataka'!$C$3:$C$501,"=575",'[1]Unos rashoda i izdataka'!$P$3:$P$501,"=37")+SUMIFS('[1]Unos rashoda P4'!$H$3:$H$501,'[1]Unos rashoda P4'!$A$3:$A$501,"=575",'[1]Unos rashoda P4'!$S$3:$S$501,"=37")</f>
        <v>0</v>
      </c>
      <c r="R11" s="56">
        <f>SUMIFS('[1]Unos rashoda i izdataka'!$J$3:$J$501,'[1]Unos rashoda i izdataka'!$Q$3:$Q$501,"=576",'[1]Unos rashoda i izdataka'!$P$3:$P$501,"=37")+SUMIFS('[1]Unos rashoda P4'!$H$3:$H$501,'[1]Unos rashoda P4'!$A$3:$A$501,"=576",'[1]Unos rashoda P4'!$S$3:$S$501,"=37")</f>
        <v>0</v>
      </c>
      <c r="S11" s="56">
        <f>SUMIFS('[1]Unos rashoda i izdataka'!$J$3:$J$501,'[1]Unos rashoda i izdataka'!$C$3:$C$501,"=581",'[1]Unos rashoda i izdataka'!$P$3:$P$501,"=37")+SUMIFS('[1]Unos rashoda P4'!$H$3:$H$501,'[1]Unos rashoda P4'!$A$3:$A$501,"=581",'[1]Unos rashoda P4'!$S$3:$S$501,"=37")</f>
        <v>0</v>
      </c>
      <c r="T11" s="56">
        <f>SUMIFS('[1]Unos rashoda i izdataka'!$J$3:$J$501,'[1]Unos rashoda i izdataka'!$C$3:$C$501,"=61",'[1]Unos rashoda i izdataka'!$P$3:$P$501,"=37")+SUMIFS('[1]Unos rashoda P4'!$H$3:$H$501,'[1]Unos rashoda P4'!$A$3:$A$501,"=61",'[1]Unos rashoda P4'!$S$3:$S$501,"=37")</f>
        <v>0</v>
      </c>
      <c r="U11" s="56">
        <f>SUMIFS('[1]Unos rashoda i izdataka'!$J$3:$J$501,'[1]Unos rashoda i izdataka'!$C$3:$C$501,"=63",'[1]Unos rashoda i izdataka'!$P$3:$P$501,"=37")+SUMIFS('[1]Unos rashoda P4'!$H$3:$H$501,'[1]Unos rashoda P4'!$A$3:$A$501,"=63",'[1]Unos rashoda P4'!$S$3:$S$501,"=37")</f>
        <v>0</v>
      </c>
      <c r="V11" s="56">
        <f>SUMIFS('[1]Unos rashoda i izdataka'!$J$3:$J$501,'[1]Unos rashoda i izdataka'!$C$3:$C$501,"=71",'[1]Unos rashoda i izdataka'!$P$3:$P$501,"=37")+SUMIFS('[1]Unos rashoda P4'!$H$3:$H$501,'[1]Unos rashoda P4'!$A$3:$A$501,"=71",'[1]Unos rashoda P4'!$S$3:$S$501,"=37")</f>
        <v>0</v>
      </c>
      <c r="W11" s="56">
        <f>SUMIFS('[1]Unos rashoda i izdataka'!$J$3:$J$501,'[1]Unos rashoda i izdataka'!$C$3:$C$501,"=81",'[1]Unos rashoda i izdataka'!$P$3:$P$501,"=37")+SUMIFS('[1]Unos rashoda P4'!$H$3:$H$501,'[1]Unos rashoda P4'!$A$3:$A$501,"=81",'[1]Unos rashoda P4'!$S$3:$S$501,"=37")</f>
        <v>0</v>
      </c>
    </row>
    <row r="12" spans="1:23" x14ac:dyDescent="0.25">
      <c r="A12" s="47">
        <v>2023</v>
      </c>
      <c r="B12" s="57">
        <v>38</v>
      </c>
      <c r="C12" s="58" t="s">
        <v>140</v>
      </c>
      <c r="D12" s="59">
        <f t="shared" si="1"/>
        <v>470876</v>
      </c>
      <c r="E12" s="56">
        <v>40876</v>
      </c>
      <c r="F12" s="56">
        <f>SUMIFS('[1]Unos rashoda i izdataka'!$J$3:$J$501,'[1]Unos rashoda i izdataka'!$C$3:$C$501,"=12",'[1]Unos rashoda i izdataka'!$P$3:$P$501,"=38")+SUMIFS('[1]Unos rashoda P4'!$H$3:$H$501,'[1]Unos rashoda P4'!$A$3:$A$501,"=12",'[1]Unos rashoda P4'!$S$3:$S$501,"=38")</f>
        <v>0</v>
      </c>
      <c r="G12" s="56">
        <f>SUMIFS('[1]Unos rashoda i izdataka'!$J$3:$J$501,'[1]Unos rashoda i izdataka'!$C$3:$C$501,"=31",'[1]Unos rashoda i izdataka'!$P$3:$P$501,"=38")+SUMIFS('[1]Unos rashoda P4'!$H$3:$H$501,'[1]Unos rashoda P4'!$A$3:$A$501,"=31",'[1]Unos rashoda P4'!$S$3:$S$501,"=38")</f>
        <v>0</v>
      </c>
      <c r="H12" s="56">
        <f>SUMIFS('[1]Unos rashoda i izdataka'!$J$3:$J$501,'[1]Unos rashoda i izdataka'!$C$3:$C$501,"=41",'[1]Unos rashoda i izdataka'!$P$3:$P$501,"=38")+SUMIFS('[1]Unos rashoda P4'!$H$3:$H$501,'[1]Unos rashoda P4'!$A$3:$A$501,"=41",'[1]Unos rashoda P4'!$S$3:$S$501,"=38")</f>
        <v>0</v>
      </c>
      <c r="I12" s="56">
        <f>SUMIFS('[1]Unos rashoda i izdataka'!$J$3:$J$501,'[1]Unos rashoda i izdataka'!$C$3:$C$501,"=43",'[1]Unos rashoda i izdataka'!$P$3:$P$501,"=38")+SUMIFS('[1]Unos rashoda P4'!$H$3:$H$501,'[1]Unos rashoda P4'!$A$3:$A$501,"=43",'[1]Unos rashoda P4'!$S$3:$S$501,"=38")</f>
        <v>430000</v>
      </c>
      <c r="J12" s="56">
        <f>SUMIFS('[1]Unos rashoda i izdataka'!$J$3:$J$501,'[1]Unos rashoda i izdataka'!$C$3:$C$501,"=51",'[1]Unos rashoda i izdataka'!$P$3:$P$501,"=38")+SUMIFS('[1]Unos rashoda P4'!$H$3:$H$501,'[1]Unos rashoda P4'!$A$3:$A$501,"=51",'[1]Unos rashoda P4'!$S$3:$S$501,"=38")</f>
        <v>0</v>
      </c>
      <c r="K12" s="56">
        <f>SUMIFS('[1]Unos rashoda i izdataka'!$J$3:$J$501,'[1]Unos rashoda i izdataka'!$C$3:$C$501,"=52",'[1]Unos rashoda i izdataka'!$P$3:$P$501,"=38")+SUMIFS('[1]Unos rashoda P4'!$H$3:$H$501,'[1]Unos rashoda P4'!$A$3:$A$501,"=52",'[1]Unos rashoda P4'!$S$3:$S$501,"=38")</f>
        <v>0</v>
      </c>
      <c r="L12" s="56">
        <f>SUMIFS('[1]Unos rashoda i izdataka'!$J$3:$J$501,'[1]Unos rashoda i izdataka'!$C$3:$C$501,"=552",'[1]Unos rashoda i izdataka'!$P$3:$P$501,"=38")+SUMIFS('[1]Unos rashoda P4'!$H$3:$H$501,'[1]Unos rashoda P4'!$A$3:$A$501,"=552",'[1]Unos rashoda P4'!$S$3:$S$501,"=38")</f>
        <v>0</v>
      </c>
      <c r="M12" s="56">
        <f>SUMIFS('[1]Unos rashoda i izdataka'!$J$3:$J$501,'[1]Unos rashoda i izdataka'!$C$3:$C$501,"=559",'[1]Unos rashoda i izdataka'!$P$3:$P$501,"=38")+SUMIFS('[1]Unos rashoda P4'!$H$3:$H$501,'[1]Unos rashoda P4'!$A$3:$A$501,"=559",'[1]Unos rashoda P4'!$S$3:$S$501,"=38")</f>
        <v>0</v>
      </c>
      <c r="N12" s="56">
        <f>SUMIFS('[1]Unos rashoda i izdataka'!$J$3:$J$501,'[1]Unos rashoda i izdataka'!$C$3:$C$501,"=561",'[1]Unos rashoda i izdataka'!$P$3:$P$501,"=38")+SUMIFS('[1]Unos rashoda P4'!$H$3:$H$501,'[1]Unos rashoda P4'!$A$3:$A$501,"=561",'[1]Unos rashoda P4'!$S$3:$S$501,"=38")</f>
        <v>0</v>
      </c>
      <c r="O12" s="56"/>
      <c r="P12" s="56">
        <f>SUMIFS('[1]Unos rashoda i izdataka'!$J$3:$J$501,'[1]Unos rashoda i izdataka'!$C$3:$C$501,"=573",'[1]Unos rashoda i izdataka'!$P$3:$P$501,"=38")+SUMIFS('[1]Unos rashoda P4'!$H$3:$H$501,'[1]Unos rashoda P4'!$A$3:$A$501,"=573",'[1]Unos rashoda P4'!$S$3:$S$501,"=38")</f>
        <v>0</v>
      </c>
      <c r="Q12" s="56">
        <f>SUMIFS('[1]Unos rashoda i izdataka'!$J$3:$J$501,'[1]Unos rashoda i izdataka'!$C$3:$C$501,"=575",'[1]Unos rashoda i izdataka'!$P$3:$P$501,"=38")+SUMIFS('[1]Unos rashoda P4'!$H$3:$H$501,'[1]Unos rashoda P4'!$A$3:$A$501,"=575",'[1]Unos rashoda P4'!$S$3:$S$501,"=38")</f>
        <v>0</v>
      </c>
      <c r="R12" s="56">
        <f>SUMIFS('[1]Unos rashoda i izdataka'!$J$3:$J$501,'[1]Unos rashoda i izdataka'!$Q$3:$Q$501,"=576",'[1]Unos rashoda i izdataka'!$P$3:$P$501,"=38")+SUMIFS('[1]Unos rashoda P4'!$H$3:$H$501,'[1]Unos rashoda P4'!$A$3:$A$501,"=576",'[1]Unos rashoda P4'!$S$3:$S$501,"=38")</f>
        <v>0</v>
      </c>
      <c r="S12" s="56">
        <f>SUMIFS('[1]Unos rashoda i izdataka'!$J$3:$J$501,'[1]Unos rashoda i izdataka'!$C$3:$C$501,"=581",'[1]Unos rashoda i izdataka'!$P$3:$P$501,"=38")+SUMIFS('[1]Unos rashoda P4'!$H$3:$H$501,'[1]Unos rashoda P4'!$A$3:$A$501,"=581",'[1]Unos rashoda P4'!$S$3:$S$501,"=38")</f>
        <v>0</v>
      </c>
      <c r="T12" s="56">
        <f>SUMIFS('[1]Unos rashoda i izdataka'!$J$3:$J$501,'[1]Unos rashoda i izdataka'!$C$3:$C$501,"=61",'[1]Unos rashoda i izdataka'!$P$3:$P$501,"=38")+SUMIFS('[1]Unos rashoda P4'!$H$3:$H$501,'[1]Unos rashoda P4'!$A$3:$A$501,"=61",'[1]Unos rashoda P4'!$S$3:$S$501,"=38")</f>
        <v>0</v>
      </c>
      <c r="U12" s="56">
        <f>SUMIFS('[1]Unos rashoda i izdataka'!$J$3:$J$501,'[1]Unos rashoda i izdataka'!$C$3:$C$501,"=63",'[1]Unos rashoda i izdataka'!$P$3:$P$501,"=38")+SUMIFS('[1]Unos rashoda P4'!$H$3:$H$501,'[1]Unos rashoda P4'!$A$3:$A$501,"=63",'[1]Unos rashoda P4'!$S$3:$S$501,"=38")</f>
        <v>0</v>
      </c>
      <c r="V12" s="56">
        <f>SUMIFS('[1]Unos rashoda i izdataka'!$J$3:$J$501,'[1]Unos rashoda i izdataka'!$C$3:$C$501,"=71",'[1]Unos rashoda i izdataka'!$P$3:$P$501,"=38")+SUMIFS('[1]Unos rashoda P4'!$H$3:$H$501,'[1]Unos rashoda P4'!$A$3:$A$501,"=71",'[1]Unos rashoda P4'!$S$3:$S$501,"=38")</f>
        <v>0</v>
      </c>
      <c r="W12" s="56">
        <f>SUMIFS('[1]Unos rashoda i izdataka'!$J$3:$J$501,'[1]Unos rashoda i izdataka'!$C$3:$C$501,"=81",'[1]Unos rashoda i izdataka'!$P$3:$P$501,"=38")+SUMIFS('[1]Unos rashoda P4'!$H$3:$H$501,'[1]Unos rashoda P4'!$A$3:$A$501,"=81",'[1]Unos rashoda P4'!$S$3:$S$501,"=38")</f>
        <v>0</v>
      </c>
    </row>
    <row r="13" spans="1:23" x14ac:dyDescent="0.25">
      <c r="A13" s="47">
        <v>2023</v>
      </c>
      <c r="B13" s="61">
        <v>4</v>
      </c>
      <c r="C13" s="62" t="s">
        <v>141</v>
      </c>
      <c r="D13" s="63">
        <f t="shared" si="1"/>
        <v>889473</v>
      </c>
      <c r="E13" s="64">
        <f t="shared" ref="E13:G13" si="6">SUM(E14:E18)</f>
        <v>55334</v>
      </c>
      <c r="F13" s="64">
        <f t="shared" si="6"/>
        <v>0</v>
      </c>
      <c r="G13" s="64">
        <f t="shared" si="6"/>
        <v>0</v>
      </c>
      <c r="H13" s="64">
        <f>SUM(H14:H18)</f>
        <v>0</v>
      </c>
      <c r="I13" s="64">
        <f t="shared" ref="I13:K13" si="7">SUM(I14:I18)</f>
        <v>815358</v>
      </c>
      <c r="J13" s="64">
        <f t="shared" si="7"/>
        <v>5100</v>
      </c>
      <c r="K13" s="64">
        <f t="shared" si="7"/>
        <v>13681</v>
      </c>
      <c r="L13" s="64">
        <f>SUM(L14:L18)</f>
        <v>0</v>
      </c>
      <c r="M13" s="64">
        <f t="shared" ref="M13:O13" si="8">SUM(M14:M18)</f>
        <v>0</v>
      </c>
      <c r="N13" s="64">
        <f t="shared" si="8"/>
        <v>0</v>
      </c>
      <c r="O13" s="64">
        <f t="shared" si="8"/>
        <v>0</v>
      </c>
      <c r="P13" s="64">
        <f>SUM(P14:P18)</f>
        <v>0</v>
      </c>
      <c r="Q13" s="64">
        <f>SUM(Q14:Q18)</f>
        <v>0</v>
      </c>
      <c r="R13" s="64">
        <f>SUM(R14:R18)</f>
        <v>0</v>
      </c>
      <c r="S13" s="64">
        <f>SUM(S14:S18)</f>
        <v>0</v>
      </c>
      <c r="T13" s="64">
        <f t="shared" ref="T13:W13" si="9">SUM(T14:T18)</f>
        <v>0</v>
      </c>
      <c r="U13" s="64">
        <f t="shared" si="9"/>
        <v>0</v>
      </c>
      <c r="V13" s="64">
        <f t="shared" si="9"/>
        <v>0</v>
      </c>
      <c r="W13" s="64">
        <f t="shared" si="9"/>
        <v>0</v>
      </c>
    </row>
    <row r="14" spans="1:23" ht="25.5" x14ac:dyDescent="0.25">
      <c r="A14" s="47">
        <v>2023</v>
      </c>
      <c r="B14" s="53">
        <v>41</v>
      </c>
      <c r="C14" s="54" t="s">
        <v>142</v>
      </c>
      <c r="D14" s="59">
        <f t="shared" si="1"/>
        <v>250460</v>
      </c>
      <c r="E14" s="56">
        <v>32872</v>
      </c>
      <c r="F14" s="56">
        <f>SUMIFS('[1]Unos rashoda i izdataka'!$J$3:$J$501,'[1]Unos rashoda i izdataka'!$C$3:$C$501,"=12",'[1]Unos rashoda i izdataka'!$P$3:$P$501,"=41")+SUMIFS('[1]Unos rashoda P4'!$H$3:$H$501,'[1]Unos rashoda P4'!$A$3:$A$501,"=12",'[1]Unos rashoda P4'!$S$3:$S$501,"=41")</f>
        <v>0</v>
      </c>
      <c r="G14" s="56">
        <f>SUMIFS('[1]Unos rashoda i izdataka'!$J$3:$J$501,'[1]Unos rashoda i izdataka'!$C$3:$C$501,"=31",'[1]Unos rashoda i izdataka'!$P$3:$P$501,"=41")+SUMIFS('[1]Unos rashoda P4'!$H$3:$H$501,'[1]Unos rashoda P4'!$A$3:$A$501,"=31",'[1]Unos rashoda P4'!$S$3:$S$501,"=41")</f>
        <v>0</v>
      </c>
      <c r="H14" s="56">
        <f>SUMIFS('[1]Unos rashoda i izdataka'!$J$3:$J$501,'[1]Unos rashoda i izdataka'!$C$3:$C$501,"=41",'[1]Unos rashoda i izdataka'!$P$3:$P$501,"=41")+SUMIFS('[1]Unos rashoda P4'!$H$3:$H$501,'[1]Unos rashoda P4'!$A$3:$A$501,"=41",'[1]Unos rashoda P4'!$S$3:$S$501,"=41")</f>
        <v>0</v>
      </c>
      <c r="I14" s="56">
        <f>SUMIFS('[1]Unos rashoda i izdataka'!$J$3:$J$501,'[1]Unos rashoda i izdataka'!$C$3:$C$501,"=43",'[1]Unos rashoda i izdataka'!$P$3:$P$501,"=41")+SUMIFS('[1]Unos rashoda P4'!$H$3:$H$501,'[1]Unos rashoda P4'!$A$3:$A$501,"=43",'[1]Unos rashoda P4'!$S$3:$S$501,"=41")</f>
        <v>211692</v>
      </c>
      <c r="J14" s="56">
        <v>5100</v>
      </c>
      <c r="K14" s="56">
        <f>SUMIFS('[1]Unos rashoda i izdataka'!$J$3:$J$501,'[1]Unos rashoda i izdataka'!$C$3:$C$501,"=52",'[1]Unos rashoda i izdataka'!$P$3:$P$501,"=41")+SUMIFS('[1]Unos rashoda P4'!$H$3:$H$501,'[1]Unos rashoda P4'!$A$3:$A$501,"=52",'[1]Unos rashoda P4'!$S$3:$S$501,"=41")</f>
        <v>796</v>
      </c>
      <c r="L14" s="56">
        <f>SUMIFS('[1]Unos rashoda i izdataka'!$J$3:$J$501,'[1]Unos rashoda i izdataka'!$C$3:$C$501,"=552",'[1]Unos rashoda i izdataka'!$P$3:$P$501,"=41")+SUMIFS('[1]Unos rashoda P4'!$H$3:$H$501,'[1]Unos rashoda P4'!$A$3:$A$501,"=552",'[1]Unos rashoda P4'!$S$3:$S$501,"=41")</f>
        <v>0</v>
      </c>
      <c r="M14" s="56">
        <f>SUMIFS('[1]Unos rashoda i izdataka'!$J$3:$J$501,'[1]Unos rashoda i izdataka'!$C$3:$C$501,"=559",'[1]Unos rashoda i izdataka'!$P$3:$P$501,"=41")+SUMIFS('[1]Unos rashoda P4'!$H$3:$H$501,'[1]Unos rashoda P4'!$A$3:$A$501,"=559",'[1]Unos rashoda P4'!$S$3:$S$501,"=41")</f>
        <v>0</v>
      </c>
      <c r="N14" s="56">
        <f>SUMIFS('[1]Unos rashoda i izdataka'!$J$3:$J$501,'[1]Unos rashoda i izdataka'!$C$3:$C$501,"=561",'[1]Unos rashoda i izdataka'!$P$3:$P$501,"=41")+SUMIFS('[1]Unos rashoda P4'!$H$3:$H$501,'[1]Unos rashoda P4'!$A$3:$A$501,"=561",'[1]Unos rashoda P4'!$S$3:$S$501,"=41")</f>
        <v>0</v>
      </c>
      <c r="O14" s="56">
        <f>SUMIFS('[1]Unos rashoda i izdataka'!$J$3:$J$501,'[1]Unos rashoda i izdataka'!$C$3:$C$501,"=563",'[1]Unos rashoda i izdataka'!$P$3:$P$501,"=41")+SUMIFS('[1]Unos rashoda P4'!$H$3:$H$501,'[1]Unos rashoda P4'!$A$3:$A$501,"=563",'[1]Unos rashoda P4'!$S$3:$S$501,"=41")</f>
        <v>0</v>
      </c>
      <c r="P14" s="56">
        <f>SUMIFS('[1]Unos rashoda i izdataka'!$J$3:$J$501,'[1]Unos rashoda i izdataka'!$C$3:$C$501,"=573",'[1]Unos rashoda i izdataka'!$P$3:$P$501,"=41")+SUMIFS('[1]Unos rashoda P4'!$H$3:$H$501,'[1]Unos rashoda P4'!$A$3:$A$501,"=573",'[1]Unos rashoda P4'!$S$3:$S$501,"=41")</f>
        <v>0</v>
      </c>
      <c r="Q14" s="56">
        <f>SUMIFS('[1]Unos rashoda i izdataka'!$J$3:$J$501,'[1]Unos rashoda i izdataka'!$C$3:$C$501,"=575",'[1]Unos rashoda i izdataka'!$P$3:$P$501,"=41")+SUMIFS('[1]Unos rashoda P4'!$H$3:$H$501,'[1]Unos rashoda P4'!$A$3:$A$501,"=575",'[1]Unos rashoda P4'!$S$3:$S$501,"=41")</f>
        <v>0</v>
      </c>
      <c r="R14" s="56">
        <f>SUMIFS('[1]Unos rashoda i izdataka'!$J$3:$J$501,'[1]Unos rashoda i izdataka'!$Q$3:$Q$501,"=576",'[1]Unos rashoda i izdataka'!$P$3:$P$501,"=41")+SUMIFS('[1]Unos rashoda P4'!$H$3:$H$501,'[1]Unos rashoda P4'!$A$3:$A$501,"=576",'[1]Unos rashoda P4'!$S$3:$S$501,"=41")</f>
        <v>0</v>
      </c>
      <c r="S14" s="56">
        <f>SUMIFS('[1]Unos rashoda i izdataka'!$J$3:$J$501,'[1]Unos rashoda i izdataka'!$C$3:$C$501,"=581",'[1]Unos rashoda i izdataka'!$P$3:$P$501,"=41")+SUMIFS('[1]Unos rashoda P4'!$H$3:$H$501,'[1]Unos rashoda P4'!$A$3:$A$501,"=581",'[1]Unos rashoda P4'!$S$3:$S$501,"=41")</f>
        <v>0</v>
      </c>
      <c r="T14" s="56"/>
      <c r="U14" s="56">
        <f>SUMIFS('[1]Unos rashoda i izdataka'!$J$3:$J$501,'[1]Unos rashoda i izdataka'!$C$3:$C$501,"=63",'[1]Unos rashoda i izdataka'!$P$3:$P$501,"=41")+SUMIFS('[1]Unos rashoda P4'!$H$3:$H$501,'[1]Unos rashoda P4'!$A$3:$A$501,"=63",'[1]Unos rashoda P4'!$S$3:$S$501,"=41")</f>
        <v>0</v>
      </c>
      <c r="V14" s="56">
        <f>SUMIFS('[1]Unos rashoda i izdataka'!$J$3:$J$501,'[1]Unos rashoda i izdataka'!$C$3:$C$501,"=71",'[1]Unos rashoda i izdataka'!$P$3:$P$501,"=41")+SUMIFS('[1]Unos rashoda P4'!$H$3:$H$501,'[1]Unos rashoda P4'!$A$3:$A$501,"=71",'[1]Unos rashoda P4'!$S$3:$S$501,"=41")</f>
        <v>0</v>
      </c>
      <c r="W14" s="56">
        <f>SUMIFS('[1]Unos rashoda i izdataka'!$J$3:$J$501,'[1]Unos rashoda i izdataka'!$C$3:$C$501,"=81",'[1]Unos rashoda i izdataka'!$P$3:$P$501,"=41")+SUMIFS('[1]Unos rashoda P4'!$H$3:$H$501,'[1]Unos rashoda P4'!$A$3:$A$501,"=81",'[1]Unos rashoda P4'!$S$3:$S$501,"=41")</f>
        <v>0</v>
      </c>
    </row>
    <row r="15" spans="1:23" x14ac:dyDescent="0.25">
      <c r="A15" s="47">
        <v>2023</v>
      </c>
      <c r="B15" s="57">
        <v>42</v>
      </c>
      <c r="C15" s="58" t="s">
        <v>143</v>
      </c>
      <c r="D15" s="59">
        <f t="shared" si="1"/>
        <v>395201</v>
      </c>
      <c r="E15" s="56">
        <v>22462</v>
      </c>
      <c r="F15" s="56"/>
      <c r="G15" s="56">
        <f>SUMIFS('[1]Unos rashoda i izdataka'!$J$3:$J$501,'[1]Unos rashoda i izdataka'!$C$3:$C$501,"=31",'[1]Unos rashoda i izdataka'!$P$3:$P$501,"=42")+SUMIFS('[1]Unos rashoda P4'!$H$3:$H$501,'[1]Unos rashoda P4'!$A$3:$A$501,"=31",'[1]Unos rashoda P4'!$S$3:$S$501,"=42")</f>
        <v>0</v>
      </c>
      <c r="H15" s="56">
        <f>SUMIFS('[1]Unos rashoda i izdataka'!$J$3:$J$501,'[1]Unos rashoda i izdataka'!$C$3:$C$501,"=41",'[1]Unos rashoda i izdataka'!$P$3:$P$501,"=42")+SUMIFS('[1]Unos rashoda P4'!$H$3:$H$501,'[1]Unos rashoda P4'!$A$3:$A$501,"=41",'[1]Unos rashoda P4'!$S$3:$S$501,"=42")</f>
        <v>0</v>
      </c>
      <c r="I15" s="56">
        <f>SUMIFS('[1]Unos rashoda i izdataka'!$J$3:$J$501,'[1]Unos rashoda i izdataka'!$C$3:$C$501,"=43",'[1]Unos rashoda i izdataka'!$P$3:$P$501,"=42")+SUMIFS('[1]Unos rashoda P4'!$H$3:$H$501,'[1]Unos rashoda P4'!$A$3:$A$501,"=43",'[1]Unos rashoda P4'!$S$3:$S$501,"=42")</f>
        <v>359854</v>
      </c>
      <c r="J15" s="56">
        <f>SUMIFS('[1]Unos rashoda i izdataka'!$J$3:$J$501,'[1]Unos rashoda i izdataka'!$C$3:$C$501,"=51",'[1]Unos rashoda i izdataka'!$P$3:$P$501,"=42")+SUMIFS('[1]Unos rashoda P4'!$H$3:$H$501,'[1]Unos rashoda P4'!$A$3:$A$501,"=51",'[1]Unos rashoda P4'!$S$3:$S$501,"=42")</f>
        <v>0</v>
      </c>
      <c r="K15" s="56">
        <v>12885</v>
      </c>
      <c r="L15" s="56">
        <f>SUMIFS('[1]Unos rashoda i izdataka'!$J$3:$J$501,'[1]Unos rashoda i izdataka'!$C$3:$C$501,"=552",'[1]Unos rashoda i izdataka'!$P$3:$P$501,"=42")+SUMIFS('[1]Unos rashoda P4'!$H$3:$H$501,'[1]Unos rashoda P4'!$A$3:$A$501,"=552",'[1]Unos rashoda P4'!$S$3:$S$501,"=42")</f>
        <v>0</v>
      </c>
      <c r="M15" s="56">
        <f>SUMIFS('[1]Unos rashoda i izdataka'!$J$3:$J$501,'[1]Unos rashoda i izdataka'!$C$3:$C$501,"=559",'[1]Unos rashoda i izdataka'!$P$3:$P$501,"=42")+SUMIFS('[1]Unos rashoda P4'!$H$3:$H$501,'[1]Unos rashoda P4'!$A$3:$A$501,"=559",'[1]Unos rashoda P4'!$S$3:$S$501,"=42")</f>
        <v>0</v>
      </c>
      <c r="N15" s="56"/>
      <c r="O15" s="56"/>
      <c r="P15" s="56">
        <f>SUMIFS('[1]Unos rashoda i izdataka'!$J$3:$J$501,'[1]Unos rashoda i izdataka'!$C$3:$C$501,"=573",'[1]Unos rashoda i izdataka'!$P$3:$P$501,"=42")+SUMIFS('[1]Unos rashoda P4'!$H$3:$H$501,'[1]Unos rashoda P4'!$A$3:$A$501,"=573",'[1]Unos rashoda P4'!$S$3:$S$501,"=42")</f>
        <v>0</v>
      </c>
      <c r="Q15" s="56">
        <f>SUMIFS('[1]Unos rashoda i izdataka'!$J$3:$J$501,'[1]Unos rashoda i izdataka'!$C$3:$C$501,"=575",'[1]Unos rashoda i izdataka'!$P$3:$P$501,"=42")+SUMIFS('[1]Unos rashoda P4'!$H$3:$H$501,'[1]Unos rashoda P4'!$A$3:$A$501,"=575",'[1]Unos rashoda P4'!$S$3:$S$501,"=42")</f>
        <v>0</v>
      </c>
      <c r="R15" s="56">
        <f>SUMIFS('[1]Unos rashoda i izdataka'!$J$3:$J$501,'[1]Unos rashoda i izdataka'!$Q$3:$Q$501,"=576",'[1]Unos rashoda i izdataka'!$P$3:$P$501,"=42")+SUMIFS('[1]Unos rashoda P4'!$H$3:$H$501,'[1]Unos rashoda P4'!$A$3:$A$501,"=576",'[1]Unos rashoda P4'!$S$3:$S$501,"=42")</f>
        <v>0</v>
      </c>
      <c r="S15" s="56">
        <f>SUMIFS('[1]Unos rashoda i izdataka'!$J$3:$J$501,'[1]Unos rashoda i izdataka'!$C$3:$C$501,"=581",'[1]Unos rashoda i izdataka'!$P$3:$P$501,"=42")+SUMIFS('[1]Unos rashoda P4'!$H$3:$H$501,'[1]Unos rashoda P4'!$A$3:$A$501,"=581",'[1]Unos rashoda P4'!$S$3:$S$501,"=42")</f>
        <v>0</v>
      </c>
      <c r="T15" s="56">
        <f>SUMIFS('[1]Unos rashoda i izdataka'!$J$3:$J$501,'[1]Unos rashoda i izdataka'!$C$3:$C$501,"=61",'[1]Unos rashoda i izdataka'!$P$3:$P$501,"=42")+SUMIFS('[1]Unos rashoda P4'!$H$3:$H$501,'[1]Unos rashoda P4'!$A$3:$A$501,"=61",'[1]Unos rashoda P4'!$S$3:$S$501,"=42")</f>
        <v>0</v>
      </c>
      <c r="U15" s="56">
        <f>SUMIFS('[1]Unos rashoda i izdataka'!$J$3:$J$501,'[1]Unos rashoda i izdataka'!$C$3:$C$501,"=63",'[1]Unos rashoda i izdataka'!$P$3:$P$501,"=42")+SUMIFS('[1]Unos rashoda P4'!$H$3:$H$501,'[1]Unos rashoda P4'!$A$3:$A$501,"=63",'[1]Unos rashoda P4'!$S$3:$S$501,"=42")</f>
        <v>0</v>
      </c>
      <c r="V15" s="56">
        <f>SUMIFS('[1]Unos rashoda i izdataka'!$J$3:$J$501,'[1]Unos rashoda i izdataka'!$C$3:$C$501,"=71",'[1]Unos rashoda i izdataka'!$P$3:$P$501,"=42")+SUMIFS('[1]Unos rashoda P4'!$H$3:$H$501,'[1]Unos rashoda P4'!$A$3:$A$501,"=71",'[1]Unos rashoda P4'!$S$3:$S$501,"=42")</f>
        <v>0</v>
      </c>
      <c r="W15" s="56">
        <f>SUMIFS('[1]Unos rashoda i izdataka'!$J$3:$J$501,'[1]Unos rashoda i izdataka'!$C$3:$C$501,"=81",'[1]Unos rashoda i izdataka'!$P$3:$P$501,"=42")+SUMIFS('[1]Unos rashoda P4'!$H$3:$H$501,'[1]Unos rashoda P4'!$A$3:$A$501,"=81",'[1]Unos rashoda P4'!$S$3:$S$501,"=42")</f>
        <v>0</v>
      </c>
    </row>
    <row r="16" spans="1:23" x14ac:dyDescent="0.25">
      <c r="A16" s="47">
        <v>2023</v>
      </c>
      <c r="B16" s="53">
        <v>43</v>
      </c>
      <c r="C16" s="54" t="s">
        <v>144</v>
      </c>
      <c r="D16" s="59">
        <f t="shared" si="1"/>
        <v>0</v>
      </c>
      <c r="E16" s="56">
        <f>SUMIFS('[1]Unos rashoda i izdataka'!$J$3:$J$501,'[1]Unos rashoda i izdataka'!$C$3:$C$501,"=11",'[1]Unos rashoda i izdataka'!$P$3:$P$501,"=43")+SUMIFS('[1]Unos rashoda P4'!$H$3:$H$501,'[1]Unos rashoda P4'!$A$3:$A$501,"=11",'[1]Unos rashoda P4'!$S$3:$S$501,"=43")</f>
        <v>0</v>
      </c>
      <c r="F16" s="56">
        <f>SUMIFS('[1]Unos rashoda i izdataka'!$J$3:$J$501,'[1]Unos rashoda i izdataka'!$C$3:$C$501,"=12",'[1]Unos rashoda i izdataka'!$P$3:$P$501,"=43")+SUMIFS('[1]Unos rashoda P4'!$H$3:$H$501,'[1]Unos rashoda P4'!$A$3:$A$501,"=12",'[1]Unos rashoda P4'!$S$3:$S$501,"=43")</f>
        <v>0</v>
      </c>
      <c r="G16" s="56">
        <f>SUMIFS('[1]Unos rashoda i izdataka'!$J$3:$J$501,'[1]Unos rashoda i izdataka'!$C$3:$C$501,"=31",'[1]Unos rashoda i izdataka'!$P$3:$P$501,"=43")+SUMIFS('[1]Unos rashoda P4'!$H$3:$H$501,'[1]Unos rashoda P4'!$A$3:$A$501,"=31",'[1]Unos rashoda P4'!$S$3:$S$501,"=43")</f>
        <v>0</v>
      </c>
      <c r="H16" s="56">
        <f>SUMIFS('[1]Unos rashoda i izdataka'!$J$3:$J$501,'[1]Unos rashoda i izdataka'!$C$3:$C$501,"=41",'[1]Unos rashoda i izdataka'!$P$3:$P$501,"=43")+SUMIFS('[1]Unos rashoda P4'!$H$3:$H$501,'[1]Unos rashoda P4'!$A$3:$A$501,"=41",'[1]Unos rashoda P4'!$S$3:$S$501,"=43")</f>
        <v>0</v>
      </c>
      <c r="I16" s="56">
        <f>SUMIFS('[1]Unos rashoda i izdataka'!$J$3:$J$501,'[1]Unos rashoda i izdataka'!$C$3:$C$501,"=43",'[1]Unos rashoda i izdataka'!$P$3:$P$501,"=43")+SUMIFS('[1]Unos rashoda P4'!$H$3:$H$501,'[1]Unos rashoda P4'!$A$3:$A$501,"=43",'[1]Unos rashoda P4'!$S$3:$S$501,"=43")</f>
        <v>0</v>
      </c>
      <c r="J16" s="56">
        <f>SUMIFS('[1]Unos rashoda i izdataka'!$J$3:$J$501,'[1]Unos rashoda i izdataka'!$C$3:$C$501,"=51",'[1]Unos rashoda i izdataka'!$P$3:$P$501,"=43")+SUMIFS('[1]Unos rashoda P4'!$H$3:$H$501,'[1]Unos rashoda P4'!$A$3:$A$501,"=51",'[1]Unos rashoda P4'!$S$3:$S$501,"=43")</f>
        <v>0</v>
      </c>
      <c r="K16" s="56">
        <f>SUMIFS('[1]Unos rashoda i izdataka'!$J$3:$J$501,'[1]Unos rashoda i izdataka'!$C$3:$C$501,"=52",'[1]Unos rashoda i izdataka'!$P$3:$P$501,"=43")+SUMIFS('[1]Unos rashoda P4'!$H$3:$H$501,'[1]Unos rashoda P4'!$A$3:$A$501,"=52",'[1]Unos rashoda P4'!$S$3:$S$501,"=43")</f>
        <v>0</v>
      </c>
      <c r="L16" s="56">
        <f>SUMIFS('[1]Unos rashoda i izdataka'!$J$3:$J$501,'[1]Unos rashoda i izdataka'!$C$3:$C$501,"=552",'[1]Unos rashoda i izdataka'!$P$3:$P$501,"=43")+SUMIFS('[1]Unos rashoda P4'!$H$3:$H$501,'[1]Unos rashoda P4'!$A$3:$A$501,"=552",'[1]Unos rashoda P4'!$S$3:$S$501,"=43")</f>
        <v>0</v>
      </c>
      <c r="M16" s="56">
        <f>SUMIFS('[1]Unos rashoda i izdataka'!$J$3:$J$501,'[1]Unos rashoda i izdataka'!$C$3:$C$501,"=559",'[1]Unos rashoda i izdataka'!$P$3:$P$501,"=43")+SUMIFS('[1]Unos rashoda P4'!$H$3:$H$501,'[1]Unos rashoda P4'!$A$3:$A$501,"=559",'[1]Unos rashoda P4'!$S$3:$S$501,"=43")</f>
        <v>0</v>
      </c>
      <c r="N16" s="56">
        <f>SUMIFS('[1]Unos rashoda i izdataka'!$J$3:$J$501,'[1]Unos rashoda i izdataka'!$C$3:$C$501,"=561",'[1]Unos rashoda i izdataka'!$P$3:$P$501,"=43")+SUMIFS('[1]Unos rashoda P4'!$H$3:$H$501,'[1]Unos rashoda P4'!$A$3:$A$501,"=561",'[1]Unos rashoda P4'!$S$3:$S$501,"=43")</f>
        <v>0</v>
      </c>
      <c r="O16" s="56">
        <f>SUMIFS('[1]Unos rashoda i izdataka'!$J$3:$J$501,'[1]Unos rashoda i izdataka'!$C$3:$C$501,"=563",'[1]Unos rashoda i izdataka'!$P$3:$P$501,"=43")+SUMIFS('[1]Unos rashoda P4'!$H$3:$H$501,'[1]Unos rashoda P4'!$A$3:$A$501,"=563",'[1]Unos rashoda P4'!$S$3:$S$501,"=43")</f>
        <v>0</v>
      </c>
      <c r="P16" s="56">
        <f>SUMIFS('[1]Unos rashoda i izdataka'!$J$3:$J$501,'[1]Unos rashoda i izdataka'!$C$3:$C$501,"=573",'[1]Unos rashoda i izdataka'!$P$3:$P$501,"=43")+SUMIFS('[1]Unos rashoda P4'!$H$3:$H$501,'[1]Unos rashoda P4'!$A$3:$A$501,"=573",'[1]Unos rashoda P4'!$S$3:$S$501,"=43")</f>
        <v>0</v>
      </c>
      <c r="Q16" s="56">
        <f>SUMIFS('[1]Unos rashoda i izdataka'!$J$3:$J$501,'[1]Unos rashoda i izdataka'!$C$3:$C$501,"=575",'[1]Unos rashoda i izdataka'!$P$3:$P$501,"=43")+SUMIFS('[1]Unos rashoda P4'!$H$3:$H$501,'[1]Unos rashoda P4'!$A$3:$A$501,"=575",'[1]Unos rashoda P4'!$S$3:$S$501,"=43")</f>
        <v>0</v>
      </c>
      <c r="R16" s="56">
        <f>SUMIFS('[1]Unos rashoda i izdataka'!$J$3:$J$501,'[1]Unos rashoda i izdataka'!$Q$3:$Q$501,"=576",'[1]Unos rashoda i izdataka'!$P$3:$P$501,"=43")+SUMIFS('[1]Unos rashoda P4'!$H$3:$H$501,'[1]Unos rashoda P4'!$A$3:$A$501,"=576",'[1]Unos rashoda P4'!$S$3:$S$501,"=43")</f>
        <v>0</v>
      </c>
      <c r="S16" s="56">
        <f>SUMIFS('[1]Unos rashoda i izdataka'!$J$3:$J$501,'[1]Unos rashoda i izdataka'!$C$3:$C$501,"=581",'[1]Unos rashoda i izdataka'!$P$3:$P$501,"=43")+SUMIFS('[1]Unos rashoda P4'!$H$3:$H$501,'[1]Unos rashoda P4'!$A$3:$A$501,"=581",'[1]Unos rashoda P4'!$S$3:$S$501,"=43")</f>
        <v>0</v>
      </c>
      <c r="T16" s="56">
        <f>SUMIFS('[1]Unos rashoda i izdataka'!$J$3:$J$501,'[1]Unos rashoda i izdataka'!$C$3:$C$501,"=61",'[1]Unos rashoda i izdataka'!$P$3:$P$501,"=43")+SUMIFS('[1]Unos rashoda P4'!$H$3:$H$501,'[1]Unos rashoda P4'!$A$3:$A$501,"=61",'[1]Unos rashoda P4'!$S$3:$S$501,"=43")</f>
        <v>0</v>
      </c>
      <c r="U16" s="56">
        <f>SUMIFS('[1]Unos rashoda i izdataka'!$J$3:$J$501,'[1]Unos rashoda i izdataka'!$C$3:$C$501,"=63",'[1]Unos rashoda i izdataka'!$P$3:$P$501,"=43")+SUMIFS('[1]Unos rashoda P4'!$H$3:$H$501,'[1]Unos rashoda P4'!$A$3:$A$501,"=63",'[1]Unos rashoda P4'!$S$3:$S$501,"=43")</f>
        <v>0</v>
      </c>
      <c r="V16" s="56">
        <f>SUMIFS('[1]Unos rashoda i izdataka'!$J$3:$J$501,'[1]Unos rashoda i izdataka'!$C$3:$C$501,"=71",'[1]Unos rashoda i izdataka'!$P$3:$P$501,"=43")+SUMIFS('[1]Unos rashoda P4'!$H$3:$H$501,'[1]Unos rashoda P4'!$A$3:$A$501,"=71",'[1]Unos rashoda P4'!$S$3:$S$501,"=43")</f>
        <v>0</v>
      </c>
      <c r="W16" s="56">
        <f>SUMIFS('[1]Unos rashoda i izdataka'!$J$3:$J$501,'[1]Unos rashoda i izdataka'!$C$3:$C$501,"=81",'[1]Unos rashoda i izdataka'!$P$3:$P$501,"=43")+SUMIFS('[1]Unos rashoda P4'!$H$3:$H$501,'[1]Unos rashoda P4'!$A$3:$A$501,"=81",'[1]Unos rashoda P4'!$S$3:$S$501,"=43")</f>
        <v>0</v>
      </c>
    </row>
    <row r="17" spans="1:23" ht="25.5" x14ac:dyDescent="0.25">
      <c r="A17" s="47">
        <v>2023</v>
      </c>
      <c r="B17" s="53">
        <v>44</v>
      </c>
      <c r="C17" s="54" t="s">
        <v>145</v>
      </c>
      <c r="D17" s="59">
        <f t="shared" si="1"/>
        <v>0</v>
      </c>
      <c r="E17" s="56">
        <f>SUMIFS('[1]Unos rashoda i izdataka'!$J$3:$J$501,'[1]Unos rashoda i izdataka'!$C$3:$C$501,"=11",'[1]Unos rashoda i izdataka'!$P$3:$P$501,"=44")+SUMIFS('[1]Unos rashoda P4'!$H$3:$H$501,'[1]Unos rashoda P4'!$A$3:$A$501,"=11",'[1]Unos rashoda P4'!$S$3:$S$501,"=44")</f>
        <v>0</v>
      </c>
      <c r="F17" s="56">
        <f>SUMIFS('[1]Unos rashoda i izdataka'!$J$3:$J$501,'[1]Unos rashoda i izdataka'!$C$3:$C$501,"=12",'[1]Unos rashoda i izdataka'!$P$3:$P$501,"=44")+SUMIFS('[1]Unos rashoda P4'!$H$3:$H$501,'[1]Unos rashoda P4'!$A$3:$A$501,"=12",'[1]Unos rashoda P4'!$S$3:$S$501,"=44")</f>
        <v>0</v>
      </c>
      <c r="G17" s="56">
        <f>SUMIFS('[1]Unos rashoda i izdataka'!$J$3:$J$501,'[1]Unos rashoda i izdataka'!$C$3:$C$501,"=31",'[1]Unos rashoda i izdataka'!$P$3:$P$501,"=44")+SUMIFS('[1]Unos rashoda P4'!$H$3:$H$501,'[1]Unos rashoda P4'!$A$3:$A$501,"=31",'[1]Unos rashoda P4'!$S$3:$S$501,"=44")</f>
        <v>0</v>
      </c>
      <c r="H17" s="56">
        <f>SUMIFS('[1]Unos rashoda i izdataka'!$J$3:$J$501,'[1]Unos rashoda i izdataka'!$C$3:$C$501,"=41",'[1]Unos rashoda i izdataka'!$P$3:$P$501,"=44")+SUMIFS('[1]Unos rashoda P4'!$H$3:$H$501,'[1]Unos rashoda P4'!$A$3:$A$501,"=41",'[1]Unos rashoda P4'!$S$3:$S$501,"=44")</f>
        <v>0</v>
      </c>
      <c r="I17" s="56">
        <f>SUMIFS('[1]Unos rashoda i izdataka'!$J$3:$J$501,'[1]Unos rashoda i izdataka'!$C$3:$C$501,"=43",'[1]Unos rashoda i izdataka'!$P$3:$P$501,"=44")+SUMIFS('[1]Unos rashoda P4'!$H$3:$H$501,'[1]Unos rashoda P4'!$A$3:$A$501,"=43",'[1]Unos rashoda P4'!$S$3:$S$501,"=44")</f>
        <v>0</v>
      </c>
      <c r="J17" s="56">
        <f>SUMIFS('[1]Unos rashoda i izdataka'!$J$3:$J$501,'[1]Unos rashoda i izdataka'!$C$3:$C$501,"=51",'[1]Unos rashoda i izdataka'!$P$3:$P$501,"=44")+SUMIFS('[1]Unos rashoda P4'!$H$3:$H$501,'[1]Unos rashoda P4'!$A$3:$A$501,"=51",'[1]Unos rashoda P4'!$S$3:$S$501,"=44")</f>
        <v>0</v>
      </c>
      <c r="K17" s="56">
        <f>SUMIFS('[1]Unos rashoda i izdataka'!$J$3:$J$501,'[1]Unos rashoda i izdataka'!$C$3:$C$501,"=52",'[1]Unos rashoda i izdataka'!$P$3:$P$501,"=44")+SUMIFS('[1]Unos rashoda P4'!$H$3:$H$501,'[1]Unos rashoda P4'!$A$3:$A$501,"=52",'[1]Unos rashoda P4'!$S$3:$S$501,"=44")</f>
        <v>0</v>
      </c>
      <c r="L17" s="56">
        <f>SUMIFS('[1]Unos rashoda i izdataka'!$J$3:$J$501,'[1]Unos rashoda i izdataka'!$C$3:$C$501,"=552",'[1]Unos rashoda i izdataka'!$P$3:$P$501,"=44")+SUMIFS('[1]Unos rashoda P4'!$H$3:$H$501,'[1]Unos rashoda P4'!$A$3:$A$501,"=552",'[1]Unos rashoda P4'!$S$3:$S$501,"=44")</f>
        <v>0</v>
      </c>
      <c r="M17" s="56">
        <f>SUMIFS('[1]Unos rashoda i izdataka'!$J$3:$J$501,'[1]Unos rashoda i izdataka'!$C$3:$C$501,"=559",'[1]Unos rashoda i izdataka'!$P$3:$P$501,"=44")+SUMIFS('[1]Unos rashoda P4'!$H$3:$H$501,'[1]Unos rashoda P4'!$A$3:$A$501,"=559",'[1]Unos rashoda P4'!$S$3:$S$501,"=44")</f>
        <v>0</v>
      </c>
      <c r="N17" s="56">
        <f>SUMIFS('[1]Unos rashoda i izdataka'!$J$3:$J$501,'[1]Unos rashoda i izdataka'!$C$3:$C$501,"=561",'[1]Unos rashoda i izdataka'!$P$3:$P$501,"=44")+SUMIFS('[1]Unos rashoda P4'!$H$3:$H$501,'[1]Unos rashoda P4'!$A$3:$A$501,"=561",'[1]Unos rashoda P4'!$S$3:$S$501,"=44")</f>
        <v>0</v>
      </c>
      <c r="O17" s="56">
        <f>SUMIFS('[1]Unos rashoda i izdataka'!$J$3:$J$501,'[1]Unos rashoda i izdataka'!$C$3:$C$501,"=563",'[1]Unos rashoda i izdataka'!$P$3:$P$501,"=44")+SUMIFS('[1]Unos rashoda P4'!$H$3:$H$501,'[1]Unos rashoda P4'!$A$3:$A$501,"=563",'[1]Unos rashoda P4'!$S$3:$S$501,"=44")</f>
        <v>0</v>
      </c>
      <c r="P17" s="56">
        <f>SUMIFS('[1]Unos rashoda i izdataka'!$J$3:$J$501,'[1]Unos rashoda i izdataka'!$C$3:$C$501,"=573",'[1]Unos rashoda i izdataka'!$P$3:$P$501,"=44")+SUMIFS('[1]Unos rashoda P4'!$H$3:$H$501,'[1]Unos rashoda P4'!$A$3:$A$501,"=573",'[1]Unos rashoda P4'!$S$3:$S$501,"=44")</f>
        <v>0</v>
      </c>
      <c r="Q17" s="56">
        <f>SUMIFS('[1]Unos rashoda i izdataka'!$J$3:$J$501,'[1]Unos rashoda i izdataka'!$C$3:$C$501,"=575",'[1]Unos rashoda i izdataka'!$P$3:$P$501,"=44")+SUMIFS('[1]Unos rashoda P4'!$H$3:$H$501,'[1]Unos rashoda P4'!$A$3:$A$501,"=575",'[1]Unos rashoda P4'!$S$3:$S$501,"=44")</f>
        <v>0</v>
      </c>
      <c r="R17" s="56">
        <f>SUMIFS('[1]Unos rashoda i izdataka'!$J$3:$J$501,'[1]Unos rashoda i izdataka'!$Q$3:$Q$501,"=576",'[1]Unos rashoda i izdataka'!$P$3:$P$501,"=44")+SUMIFS('[1]Unos rashoda P4'!$H$3:$H$501,'[1]Unos rashoda P4'!$A$3:$A$501,"=576",'[1]Unos rashoda P4'!$S$3:$S$501,"=44")</f>
        <v>0</v>
      </c>
      <c r="S17" s="56">
        <f>SUMIFS('[1]Unos rashoda i izdataka'!$J$3:$J$501,'[1]Unos rashoda i izdataka'!$C$3:$C$501,"=581",'[1]Unos rashoda i izdataka'!$P$3:$P$501,"=44")+SUMIFS('[1]Unos rashoda P4'!$H$3:$H$501,'[1]Unos rashoda P4'!$A$3:$A$501,"=581",'[1]Unos rashoda P4'!$S$3:$S$501,"=44")</f>
        <v>0</v>
      </c>
      <c r="T17" s="56">
        <f>SUMIFS('[1]Unos rashoda i izdataka'!$J$3:$J$501,'[1]Unos rashoda i izdataka'!$C$3:$C$501,"=61",'[1]Unos rashoda i izdataka'!$P$3:$P$501,"=44")+SUMIFS('[1]Unos rashoda P4'!$H$3:$H$501,'[1]Unos rashoda P4'!$A$3:$A$501,"=61",'[1]Unos rashoda P4'!$S$3:$S$501,"=44")</f>
        <v>0</v>
      </c>
      <c r="U17" s="56">
        <f>SUMIFS('[1]Unos rashoda i izdataka'!$J$3:$J$501,'[1]Unos rashoda i izdataka'!$C$3:$C$501,"=63",'[1]Unos rashoda i izdataka'!$P$3:$P$501,"=44")+SUMIFS('[1]Unos rashoda P4'!$H$3:$H$501,'[1]Unos rashoda P4'!$A$3:$A$501,"=63",'[1]Unos rashoda P4'!$S$3:$S$501,"=44")</f>
        <v>0</v>
      </c>
      <c r="V17" s="56">
        <f>SUMIFS('[1]Unos rashoda i izdataka'!$J$3:$J$501,'[1]Unos rashoda i izdataka'!$C$3:$C$501,"=71",'[1]Unos rashoda i izdataka'!$P$3:$P$501,"=44")+SUMIFS('[1]Unos rashoda P4'!$H$3:$H$501,'[1]Unos rashoda P4'!$A$3:$A$501,"=71",'[1]Unos rashoda P4'!$S$3:$S$501,"=44")</f>
        <v>0</v>
      </c>
      <c r="W17" s="56">
        <f>SUMIFS('[1]Unos rashoda i izdataka'!$J$3:$J$501,'[1]Unos rashoda i izdataka'!$C$3:$C$501,"=81",'[1]Unos rashoda i izdataka'!$P$3:$P$501,"=44")+SUMIFS('[1]Unos rashoda P4'!$H$3:$H$501,'[1]Unos rashoda P4'!$A$3:$A$501,"=81",'[1]Unos rashoda P4'!$S$3:$S$501,"=44")</f>
        <v>0</v>
      </c>
    </row>
    <row r="18" spans="1:23" x14ac:dyDescent="0.25">
      <c r="A18" s="47">
        <v>2023</v>
      </c>
      <c r="B18" s="57">
        <v>45</v>
      </c>
      <c r="C18" s="58" t="s">
        <v>146</v>
      </c>
      <c r="D18" s="59">
        <f t="shared" si="1"/>
        <v>243812</v>
      </c>
      <c r="E18" s="56">
        <f>SUMIFS('[1]Unos rashoda i izdataka'!$J$3:$J$501,'[1]Unos rashoda i izdataka'!$C$3:$C$501,"=11",'[1]Unos rashoda i izdataka'!$P$3:$P$501,"=45")+SUMIFS('[1]Unos rashoda P4'!$H$3:$H$501,'[1]Unos rashoda P4'!$A$3:$A$501,"=11",'[1]Unos rashoda P4'!$S$3:$S$501,"=45")</f>
        <v>0</v>
      </c>
      <c r="F18" s="56">
        <f>SUMIFS('[1]Unos rashoda i izdataka'!$J$3:$J$501,'[1]Unos rashoda i izdataka'!$C$3:$C$501,"=12",'[1]Unos rashoda i izdataka'!$P$3:$P$501,"=45")+SUMIFS('[1]Unos rashoda P4'!$H$3:$H$501,'[1]Unos rashoda P4'!$A$3:$A$501,"=12",'[1]Unos rashoda P4'!$S$3:$S$501,"=45")</f>
        <v>0</v>
      </c>
      <c r="G18" s="56">
        <f>SUMIFS('[1]Unos rashoda i izdataka'!$J$3:$J$501,'[1]Unos rashoda i izdataka'!$C$3:$C$501,"=31",'[1]Unos rashoda i izdataka'!$P$3:$P$501,"=45")+SUMIFS('[1]Unos rashoda P4'!$H$3:$H$501,'[1]Unos rashoda P4'!$A$3:$A$501,"=31",'[1]Unos rashoda P4'!$S$3:$S$501,"=45")</f>
        <v>0</v>
      </c>
      <c r="H18" s="56">
        <f>SUMIFS('[1]Unos rashoda i izdataka'!$J$3:$J$501,'[1]Unos rashoda i izdataka'!$C$3:$C$501,"=41",'[1]Unos rashoda i izdataka'!$P$3:$P$501,"=45")+SUMIFS('[1]Unos rashoda P4'!$H$3:$H$501,'[1]Unos rashoda P4'!$A$3:$A$501,"=41",'[1]Unos rashoda P4'!$S$3:$S$501,"=45")</f>
        <v>0</v>
      </c>
      <c r="I18" s="56">
        <f>SUMIFS('[1]Unos rashoda i izdataka'!$J$3:$J$501,'[1]Unos rashoda i izdataka'!$C$3:$C$501,"=43",'[1]Unos rashoda i izdataka'!$P$3:$P$501,"=45")+SUMIFS('[1]Unos rashoda P4'!$H$3:$H$501,'[1]Unos rashoda P4'!$A$3:$A$501,"=43",'[1]Unos rashoda P4'!$S$3:$S$501,"=45")</f>
        <v>243812</v>
      </c>
      <c r="J18" s="56">
        <f>SUMIFS('[1]Unos rashoda i izdataka'!$J$3:$J$501,'[1]Unos rashoda i izdataka'!$C$3:$C$501,"=51",'[1]Unos rashoda i izdataka'!$P$3:$P$501,"=45")+SUMIFS('[1]Unos rashoda P4'!$H$3:$H$501,'[1]Unos rashoda P4'!$A$3:$A$501,"=51",'[1]Unos rashoda P4'!$S$3:$S$501,"=45")</f>
        <v>0</v>
      </c>
      <c r="K18" s="56">
        <f>SUMIFS('[1]Unos rashoda i izdataka'!$J$3:$J$501,'[1]Unos rashoda i izdataka'!$C$3:$C$501,"=52",'[1]Unos rashoda i izdataka'!$P$3:$P$501,"=45")+SUMIFS('[1]Unos rashoda P4'!$H$3:$H$501,'[1]Unos rashoda P4'!$A$3:$A$501,"=52",'[1]Unos rashoda P4'!$S$3:$S$501,"=45")</f>
        <v>0</v>
      </c>
      <c r="L18" s="56">
        <f>SUMIFS('[1]Unos rashoda i izdataka'!$J$3:$J$501,'[1]Unos rashoda i izdataka'!$C$3:$C$501,"=552",'[1]Unos rashoda i izdataka'!$P$3:$P$501,"=45")+SUMIFS('[1]Unos rashoda P4'!$H$3:$H$501,'[1]Unos rashoda P4'!$A$3:$A$501,"=552",'[1]Unos rashoda P4'!$S$3:$S$501,"=45")</f>
        <v>0</v>
      </c>
      <c r="M18" s="56">
        <f>SUMIFS('[1]Unos rashoda i izdataka'!$J$3:$J$501,'[1]Unos rashoda i izdataka'!$C$3:$C$501,"=559",'[1]Unos rashoda i izdataka'!$P$3:$P$501,"=45")+SUMIFS('[1]Unos rashoda P4'!$H$3:$H$501,'[1]Unos rashoda P4'!$A$3:$A$501,"=559",'[1]Unos rashoda P4'!$S$3:$S$501,"=45")</f>
        <v>0</v>
      </c>
      <c r="N18" s="56">
        <f>SUMIFS('[1]Unos rashoda i izdataka'!$J$3:$J$501,'[1]Unos rashoda i izdataka'!$C$3:$C$501,"=561",'[1]Unos rashoda i izdataka'!$P$3:$P$501,"=45")+SUMIFS('[1]Unos rashoda P4'!$H$3:$H$501,'[1]Unos rashoda P4'!$A$3:$A$501,"=561",'[1]Unos rashoda P4'!$S$3:$S$501,"=45")</f>
        <v>0</v>
      </c>
      <c r="O18" s="56">
        <f>SUMIFS('[1]Unos rashoda i izdataka'!$J$3:$J$501,'[1]Unos rashoda i izdataka'!$C$3:$C$501,"=563",'[1]Unos rashoda i izdataka'!$P$3:$P$501,"=45")+SUMIFS('[1]Unos rashoda P4'!$H$3:$H$501,'[1]Unos rashoda P4'!$A$3:$A$501,"=563",'[1]Unos rashoda P4'!$S$3:$S$501,"=45")</f>
        <v>0</v>
      </c>
      <c r="P18" s="56">
        <f>SUMIFS('[1]Unos rashoda i izdataka'!$J$3:$J$501,'[1]Unos rashoda i izdataka'!$C$3:$C$501,"=573",'[1]Unos rashoda i izdataka'!$P$3:$P$501,"=45")+SUMIFS('[1]Unos rashoda P4'!$H$3:$H$501,'[1]Unos rashoda P4'!$A$3:$A$501,"=573",'[1]Unos rashoda P4'!$S$3:$S$501,"=45")</f>
        <v>0</v>
      </c>
      <c r="Q18" s="56">
        <f>SUMIFS('[1]Unos rashoda i izdataka'!$J$3:$J$501,'[1]Unos rashoda i izdataka'!$C$3:$C$501,"=575",'[1]Unos rashoda i izdataka'!$P$3:$P$501,"=45")+SUMIFS('[1]Unos rashoda P4'!$H$3:$H$501,'[1]Unos rashoda P4'!$A$3:$A$501,"=575",'[1]Unos rashoda P4'!$S$3:$S$501,"=45")</f>
        <v>0</v>
      </c>
      <c r="R18" s="56">
        <f>SUMIFS('[1]Unos rashoda i izdataka'!$J$3:$J$501,'[1]Unos rashoda i izdataka'!$Q$3:$Q$501,"=576",'[1]Unos rashoda i izdataka'!$P$3:$P$501,"=45")+SUMIFS('[1]Unos rashoda P4'!$H$3:$H$501,'[1]Unos rashoda P4'!$A$3:$A$501,"=576",'[1]Unos rashoda P4'!$S$3:$S$501,"=45")</f>
        <v>0</v>
      </c>
      <c r="S18" s="56">
        <f>SUMIFS('[1]Unos rashoda i izdataka'!$J$3:$J$501,'[1]Unos rashoda i izdataka'!$C$3:$C$501,"=581",'[1]Unos rashoda i izdataka'!$P$3:$P$501,"=45")+SUMIFS('[1]Unos rashoda P4'!$H$3:$H$501,'[1]Unos rashoda P4'!$A$3:$A$501,"=581",'[1]Unos rashoda P4'!$S$3:$S$501,"=45")</f>
        <v>0</v>
      </c>
      <c r="T18" s="56">
        <f>SUMIFS('[1]Unos rashoda i izdataka'!$J$3:$J$501,'[1]Unos rashoda i izdataka'!$C$3:$C$501,"=61",'[1]Unos rashoda i izdataka'!$P$3:$P$501,"=45")+SUMIFS('[1]Unos rashoda P4'!$H$3:$H$501,'[1]Unos rashoda P4'!$A$3:$A$501,"=61",'[1]Unos rashoda P4'!$S$3:$S$501,"=45")</f>
        <v>0</v>
      </c>
      <c r="U18" s="56">
        <f>SUMIFS('[1]Unos rashoda i izdataka'!$J$3:$J$501,'[1]Unos rashoda i izdataka'!$C$3:$C$501,"=63",'[1]Unos rashoda i izdataka'!$P$3:$P$501,"=45")+SUMIFS('[1]Unos rashoda P4'!$H$3:$H$501,'[1]Unos rashoda P4'!$A$3:$A$501,"=63",'[1]Unos rashoda P4'!$S$3:$S$501,"=45")</f>
        <v>0</v>
      </c>
      <c r="V18" s="56">
        <f>SUMIFS('[1]Unos rashoda i izdataka'!$J$3:$J$501,'[1]Unos rashoda i izdataka'!$C$3:$C$501,"=71",'[1]Unos rashoda i izdataka'!$P$3:$P$501,"=45")+SUMIFS('[1]Unos rashoda P4'!$H$3:$H$501,'[1]Unos rashoda P4'!$A$3:$A$501,"=71",'[1]Unos rashoda P4'!$S$3:$S$501,"=45")</f>
        <v>0</v>
      </c>
      <c r="W18" s="56">
        <f>SUMIFS('[1]Unos rashoda i izdataka'!$J$3:$J$501,'[1]Unos rashoda i izdataka'!$C$3:$C$501,"=81",'[1]Unos rashoda i izdataka'!$P$3:$P$501,"=45")+SUMIFS('[1]Unos rashoda P4'!$H$3:$H$501,'[1]Unos rashoda P4'!$A$3:$A$501,"=81",'[1]Unos rashoda P4'!$S$3:$S$501,"=45")</f>
        <v>0</v>
      </c>
    </row>
    <row r="19" spans="1:23" x14ac:dyDescent="0.25">
      <c r="A19" s="6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63.75" x14ac:dyDescent="0.25">
      <c r="A20" s="46" t="s">
        <v>4</v>
      </c>
      <c r="B20" s="11" t="s">
        <v>124</v>
      </c>
      <c r="C20" s="11" t="s">
        <v>125</v>
      </c>
      <c r="D20" s="31" t="s">
        <v>147</v>
      </c>
      <c r="E20" s="31" t="s">
        <v>126</v>
      </c>
      <c r="F20" s="31" t="s">
        <v>9</v>
      </c>
      <c r="G20" s="11" t="s">
        <v>10</v>
      </c>
      <c r="H20" s="11" t="s">
        <v>127</v>
      </c>
      <c r="I20" s="11" t="s">
        <v>12</v>
      </c>
      <c r="J20" s="11" t="s">
        <v>13</v>
      </c>
      <c r="K20" s="11" t="s">
        <v>14</v>
      </c>
      <c r="L20" s="11" t="s">
        <v>15</v>
      </c>
      <c r="M20" s="11" t="s">
        <v>16</v>
      </c>
      <c r="N20" s="11" t="s">
        <v>17</v>
      </c>
      <c r="O20" s="11" t="s">
        <v>18</v>
      </c>
      <c r="P20" s="11" t="s">
        <v>19</v>
      </c>
      <c r="Q20" s="11" t="s">
        <v>128</v>
      </c>
      <c r="R20" s="11" t="s">
        <v>129</v>
      </c>
      <c r="S20" s="11" t="s">
        <v>22</v>
      </c>
      <c r="T20" s="11" t="s">
        <v>23</v>
      </c>
      <c r="U20" s="11" t="s">
        <v>24</v>
      </c>
      <c r="V20" s="11" t="s">
        <v>130</v>
      </c>
      <c r="W20" s="11" t="s">
        <v>131</v>
      </c>
    </row>
    <row r="21" spans="1:23" ht="21" x14ac:dyDescent="0.25">
      <c r="A21" s="47">
        <v>2024</v>
      </c>
      <c r="B21" s="13">
        <v>2024</v>
      </c>
      <c r="C21" s="13" t="s">
        <v>132</v>
      </c>
      <c r="D21" s="14">
        <f t="shared" ref="D21:D35" si="10">SUM(E21:W21)</f>
        <v>12976464</v>
      </c>
      <c r="E21" s="48">
        <f>+E22+E30</f>
        <v>9073634</v>
      </c>
      <c r="F21" s="48">
        <f t="shared" ref="F21:W21" si="11">+F22+F30</f>
        <v>0</v>
      </c>
      <c r="G21" s="48">
        <f t="shared" si="11"/>
        <v>292021</v>
      </c>
      <c r="H21" s="48">
        <f t="shared" si="11"/>
        <v>0</v>
      </c>
      <c r="I21" s="48">
        <f t="shared" si="11"/>
        <v>2834376</v>
      </c>
      <c r="J21" s="48">
        <f t="shared" si="11"/>
        <v>129546</v>
      </c>
      <c r="K21" s="48">
        <f t="shared" si="11"/>
        <v>646887</v>
      </c>
      <c r="L21" s="48">
        <f t="shared" si="11"/>
        <v>0</v>
      </c>
      <c r="M21" s="48">
        <f t="shared" si="11"/>
        <v>0</v>
      </c>
      <c r="N21" s="48">
        <f t="shared" si="11"/>
        <v>0</v>
      </c>
      <c r="O21" s="48">
        <f t="shared" si="11"/>
        <v>0</v>
      </c>
      <c r="P21" s="48">
        <f t="shared" si="11"/>
        <v>0</v>
      </c>
      <c r="Q21" s="48">
        <f t="shared" si="11"/>
        <v>0</v>
      </c>
      <c r="R21" s="48">
        <f t="shared" si="11"/>
        <v>0</v>
      </c>
      <c r="S21" s="48">
        <f t="shared" si="11"/>
        <v>0</v>
      </c>
      <c r="T21" s="48">
        <f t="shared" si="11"/>
        <v>0</v>
      </c>
      <c r="U21" s="48">
        <f t="shared" si="11"/>
        <v>0</v>
      </c>
      <c r="V21" s="48">
        <f t="shared" si="11"/>
        <v>0</v>
      </c>
      <c r="W21" s="48">
        <f t="shared" si="11"/>
        <v>0</v>
      </c>
    </row>
    <row r="22" spans="1:23" x14ac:dyDescent="0.25">
      <c r="A22" s="47">
        <v>2024</v>
      </c>
      <c r="B22" s="49">
        <v>3</v>
      </c>
      <c r="C22" s="50" t="s">
        <v>133</v>
      </c>
      <c r="D22" s="51">
        <f t="shared" si="10"/>
        <v>12538723</v>
      </c>
      <c r="E22" s="52">
        <f t="shared" ref="E22:W22" si="12">SUM(E23:E29)</f>
        <v>9018301</v>
      </c>
      <c r="F22" s="52">
        <f t="shared" si="12"/>
        <v>0</v>
      </c>
      <c r="G22" s="52">
        <f t="shared" si="12"/>
        <v>292021</v>
      </c>
      <c r="H22" s="52">
        <f>SUM(H23:H29)</f>
        <v>0</v>
      </c>
      <c r="I22" s="52">
        <f t="shared" si="12"/>
        <v>2472740</v>
      </c>
      <c r="J22" s="52">
        <f t="shared" si="12"/>
        <v>124446</v>
      </c>
      <c r="K22" s="52">
        <f t="shared" si="12"/>
        <v>631215</v>
      </c>
      <c r="L22" s="52">
        <f>SUM(L23:L29)</f>
        <v>0</v>
      </c>
      <c r="M22" s="52">
        <f t="shared" si="12"/>
        <v>0</v>
      </c>
      <c r="N22" s="52">
        <f t="shared" si="12"/>
        <v>0</v>
      </c>
      <c r="O22" s="52">
        <f t="shared" si="12"/>
        <v>0</v>
      </c>
      <c r="P22" s="52">
        <f>SUM(P23:P29)</f>
        <v>0</v>
      </c>
      <c r="Q22" s="52">
        <f>SUM(Q23:Q29)</f>
        <v>0</v>
      </c>
      <c r="R22" s="52">
        <f>SUM(R23:R29)</f>
        <v>0</v>
      </c>
      <c r="S22" s="52">
        <f>SUM(S23:S29)</f>
        <v>0</v>
      </c>
      <c r="T22" s="52">
        <f t="shared" si="12"/>
        <v>0</v>
      </c>
      <c r="U22" s="52">
        <f t="shared" si="12"/>
        <v>0</v>
      </c>
      <c r="V22" s="52">
        <f t="shared" si="12"/>
        <v>0</v>
      </c>
      <c r="W22" s="52">
        <f t="shared" si="12"/>
        <v>0</v>
      </c>
    </row>
    <row r="23" spans="1:23" x14ac:dyDescent="0.25">
      <c r="A23" s="47">
        <v>2024</v>
      </c>
      <c r="B23" s="53">
        <v>31</v>
      </c>
      <c r="C23" s="54" t="s">
        <v>134</v>
      </c>
      <c r="D23" s="55">
        <f t="shared" si="10"/>
        <v>8480759</v>
      </c>
      <c r="E23" s="56">
        <v>6779442</v>
      </c>
      <c r="F23" s="56">
        <f>SUMIFS('[1]Unos rashoda i izdataka'!$K$3:$K$501,'[1]Unos rashoda i izdataka'!$C$3:$C$501,"=12",'[1]Unos rashoda i izdataka'!$P$3:$P$501,"=31")+SUMIFS('[1]Unos rashoda P4'!$I$3:$I$501,'[1]Unos rashoda P4'!$A$3:$A$501,"=12",'[1]Unos rashoda P4'!$S$3:$S$501,"=31")</f>
        <v>0</v>
      </c>
      <c r="G23" s="56">
        <f>SUMIFS('[1]Unos rashoda i izdataka'!$K$3:$K$501,'[1]Unos rashoda i izdataka'!$C$3:$C$501,"=31",'[1]Unos rashoda i izdataka'!$P$3:$P$501,"=31")+SUMIFS('[1]Unos rashoda P4'!$I$3:$I$501,'[1]Unos rashoda P4'!$A$3:$A$501,"=31",'[1]Unos rashoda P4'!$S$3:$S$501,"=31")</f>
        <v>264484</v>
      </c>
      <c r="H23" s="56">
        <f>SUMIFS('[1]Unos rashoda i izdataka'!$K$3:$K$501,'[1]Unos rashoda i izdataka'!$C$3:$C$501,"=41",'[1]Unos rashoda i izdataka'!$P$3:$P$501,"=31")+SUMIFS('[1]Unos rashoda P4'!$I$3:$I$501,'[1]Unos rashoda P4'!$A$3:$A$501,"=41",'[1]Unos rashoda P4'!$S$3:$S$501,"=31")</f>
        <v>0</v>
      </c>
      <c r="I23" s="56">
        <f>SUMIFS('[1]Unos rashoda i izdataka'!$K$3:$K$501,'[1]Unos rashoda i izdataka'!$C$3:$C$501,"=43",'[1]Unos rashoda i izdataka'!$P$3:$P$501,"=31")+SUMIFS('[1]Unos rashoda P4'!$I$3:$I$501,'[1]Unos rashoda P4'!$A$3:$A$501,"=43",'[1]Unos rashoda P4'!$S$3:$S$501,"=31")</f>
        <v>1347969</v>
      </c>
      <c r="J23" s="56">
        <f>SUMIFS('[1]Unos rashoda i izdataka'!$K$3:$K$501,'[1]Unos rashoda i izdataka'!$C$3:$C$501,"=51",'[1]Unos rashoda i izdataka'!$P$3:$P$501,"=31")+SUMIFS('[1]Unos rashoda P4'!$I$3:$I$501,'[1]Unos rashoda P4'!$A$3:$A$501,"=51",'[1]Unos rashoda P4'!$S$3:$S$501,"=31")</f>
        <v>0</v>
      </c>
      <c r="K23" s="56">
        <f>SUMIFS('[1]Unos rashoda i izdataka'!$K$3:$K$501,'[1]Unos rashoda i izdataka'!$C$3:$C$501,"=52",'[1]Unos rashoda i izdataka'!$P$3:$P$501,"=31")+SUMIFS('[1]Unos rashoda P4'!$I$3:$I$501,'[1]Unos rashoda P4'!$A$3:$A$501,"=52",'[1]Unos rashoda P4'!$S$3:$S$501,"=31")</f>
        <v>88864</v>
      </c>
      <c r="L23" s="56">
        <f>SUMIFS('[1]Unos rashoda i izdataka'!$K$3:$K$501,'[1]Unos rashoda i izdataka'!$C$3:$C$501,"=552",'[1]Unos rashoda i izdataka'!$P$3:$P$501,"=31")+SUMIFS('[1]Unos rashoda P4'!$I$3:$I$501,'[1]Unos rashoda P4'!$A$3:$A$501,"=552",'[1]Unos rashoda P4'!$S$3:$S$501,"=31")</f>
        <v>0</v>
      </c>
      <c r="M23" s="56">
        <f>SUMIFS('[1]Unos rashoda i izdataka'!$K$3:$K$501,'[1]Unos rashoda i izdataka'!$C$3:$C$501,"=559",'[1]Unos rashoda i izdataka'!$P$3:$P$501,"=31")+SUMIFS('[1]Unos rashoda P4'!$I$3:$I$501,'[1]Unos rashoda P4'!$A$3:$A$501,"=559",'[1]Unos rashoda P4'!$S$3:$S$501,"=31")</f>
        <v>0</v>
      </c>
      <c r="N23" s="56">
        <f>SUMIFS('[1]Unos rashoda i izdataka'!$K$3:$K$501,'[1]Unos rashoda i izdataka'!$C$3:$C$501,"=561",'[1]Unos rashoda i izdataka'!$P$3:$P$501,"=31")+SUMIFS('[1]Unos rashoda P4'!$I$3:$I$501,'[1]Unos rashoda P4'!$A$3:$A$501,"=561",'[1]Unos rashoda P4'!$S$3:$S$501,"=31")</f>
        <v>0</v>
      </c>
      <c r="O23" s="56">
        <f>SUMIFS('[1]Unos rashoda i izdataka'!$K$3:$K$501,'[1]Unos rashoda i izdataka'!$C$3:$C$501,"=563",'[1]Unos rashoda i izdataka'!$P$3:$P$501,"=31")+SUMIFS('[1]Unos rashoda P4'!$I$3:$I$501,'[1]Unos rashoda P4'!$A$3:$A$501,"=563",'[1]Unos rashoda P4'!$S$3:$S$501,"=31")</f>
        <v>0</v>
      </c>
      <c r="P23" s="56">
        <f>SUMIFS('[1]Unos rashoda i izdataka'!$K$3:$K$501,'[1]Unos rashoda i izdataka'!$C$3:$C$501,"=573",'[1]Unos rashoda i izdataka'!$P$3:$P$501,"=31")+SUMIFS('[1]Unos rashoda P4'!$I$3:$I$501,'[1]Unos rashoda P4'!$A$3:$A$501,"=573",'[1]Unos rashoda P4'!$S$3:$S$501,"=31")</f>
        <v>0</v>
      </c>
      <c r="Q23" s="56">
        <f>SUMIFS('[1]Unos rashoda i izdataka'!$K$3:$K$501,'[1]Unos rashoda i izdataka'!$C$3:$C$501,"=575",'[1]Unos rashoda i izdataka'!$P$3:$P$501,"=31")+SUMIFS('[1]Unos rashoda P4'!$I$3:$I$501,'[1]Unos rashoda P4'!$A$3:$A$501,"=575",'[1]Unos rashoda P4'!$S$3:$S$501,"=31")</f>
        <v>0</v>
      </c>
      <c r="R23" s="56">
        <f>SUMIFS('[1]Unos rashoda i izdataka'!$K$3:$K$501,'[1]Unos rashoda i izdataka'!$Q$3:$Q$501,"=576",'[1]Unos rashoda i izdataka'!$P$3:$P$501,"=31")+SUMIFS('[1]Unos rashoda P4'!$I$3:$I$501,'[1]Unos rashoda P4'!$A$3:$A$501,"=576",'[1]Unos rashoda P4'!$S$3:$S$501,"=31")</f>
        <v>0</v>
      </c>
      <c r="S23" s="56">
        <f>SUMIFS('[1]Unos rashoda i izdataka'!$K$3:$K$501,'[1]Unos rashoda i izdataka'!$C$3:$C$501,"=581",'[1]Unos rashoda i izdataka'!$P$3:$P$501,"=31")+SUMIFS('[1]Unos rashoda P4'!$I$3:$I$501,'[1]Unos rashoda P4'!$A$3:$A$501,"=581",'[1]Unos rashoda P4'!$S$3:$S$501,"=31")</f>
        <v>0</v>
      </c>
      <c r="T23" s="56">
        <f>SUMIFS('[1]Unos rashoda i izdataka'!$K$3:$K$501,'[1]Unos rashoda i izdataka'!$C$3:$C$501,"=61",'[1]Unos rashoda i izdataka'!$P$3:$P$501,"=31")+SUMIFS('[1]Unos rashoda P4'!$I$3:$I$501,'[1]Unos rashoda P4'!$A$3:$A$501,"=61",'[1]Unos rashoda P4'!$S$3:$S$501,"=31")</f>
        <v>0</v>
      </c>
      <c r="U23" s="56">
        <f>SUMIFS('[1]Unos rashoda i izdataka'!$K$3:$K$501,'[1]Unos rashoda i izdataka'!$C$3:$C$501,"=63",'[1]Unos rashoda i izdataka'!$P$3:$P$501,"=31")+SUMIFS('[1]Unos rashoda P4'!$I$3:$I$501,'[1]Unos rashoda P4'!$A$3:$A$501,"=63",'[1]Unos rashoda P4'!$S$3:$S$501,"=31")</f>
        <v>0</v>
      </c>
      <c r="V23" s="56">
        <f>SUMIFS('[1]Unos rashoda i izdataka'!$K$3:$K$501,'[1]Unos rashoda i izdataka'!$C$3:$C$501,"=71",'[1]Unos rashoda i izdataka'!$P$3:$P$501,"=31")+SUMIFS('[1]Unos rashoda P4'!$I$3:$I$501,'[1]Unos rashoda P4'!$A$3:$A$501,"=71",'[1]Unos rashoda P4'!$S$3:$S$501,"=31")</f>
        <v>0</v>
      </c>
      <c r="W23" s="56">
        <f>SUMIFS('[1]Unos rashoda i izdataka'!$K$3:$K$501,'[1]Unos rashoda i izdataka'!$C$3:$C$501,"=81",'[1]Unos rashoda i izdataka'!$P$3:$P$501,"=31")+SUMIFS('[1]Unos rashoda P4'!$I$3:$I$501,'[1]Unos rashoda P4'!$A$3:$A$501,"=81",'[1]Unos rashoda P4'!$S$3:$S$501,"=31")</f>
        <v>0</v>
      </c>
    </row>
    <row r="24" spans="1:23" x14ac:dyDescent="0.25">
      <c r="A24" s="47">
        <v>2024</v>
      </c>
      <c r="B24" s="57">
        <v>32</v>
      </c>
      <c r="C24" s="58" t="s">
        <v>135</v>
      </c>
      <c r="D24" s="59">
        <f t="shared" si="10"/>
        <v>2805292</v>
      </c>
      <c r="E24" s="56">
        <v>2048777</v>
      </c>
      <c r="F24" s="56">
        <f>SUMIFS('[1]Unos rashoda i izdataka'!$K$3:$K$501,'[1]Unos rashoda i izdataka'!$C$3:$C$501,"=12",'[1]Unos rashoda i izdataka'!$P$3:$P$501,"=32")+SUMIFS('[1]Unos rashoda P4'!$I$3:$I$501,'[1]Unos rashoda P4'!$A$3:$A$501,"=12",'[1]Unos rashoda P4'!$S$3:$S$501,"=32")</f>
        <v>0</v>
      </c>
      <c r="G24" s="56">
        <f>SUMIFS('[1]Unos rashoda i izdataka'!$K$3:$K$501,'[1]Unos rashoda i izdataka'!$C$3:$C$501,"=31",'[1]Unos rashoda i izdataka'!$P$3:$P$501,"=32")+SUMIFS('[1]Unos rashoda P4'!$I$3:$I$501,'[1]Unos rashoda P4'!$A$3:$A$501,"=31",'[1]Unos rashoda P4'!$S$3:$S$501,"=32")</f>
        <v>27537</v>
      </c>
      <c r="H24" s="56">
        <f>SUMIFS('[1]Unos rashoda i izdataka'!$K$3:$K$501,'[1]Unos rashoda i izdataka'!$C$3:$C$501,"=41",'[1]Unos rashoda i izdataka'!$P$3:$P$501,"=32")+SUMIFS('[1]Unos rashoda P4'!$I$3:$I$501,'[1]Unos rashoda P4'!$A$3:$A$501,"=41",'[1]Unos rashoda P4'!$S$3:$S$501,"=32")</f>
        <v>0</v>
      </c>
      <c r="I24" s="56">
        <f>SUMIFS('[1]Unos rashoda i izdataka'!$K$3:$K$501,'[1]Unos rashoda i izdataka'!$C$3:$C$501,"=43",'[1]Unos rashoda i izdataka'!$P$3:$P$501,"=32")+SUMIFS('[1]Unos rashoda P4'!$I$3:$I$501,'[1]Unos rashoda P4'!$A$3:$A$501,"=43",'[1]Unos rashoda P4'!$S$3:$S$501,"=32")</f>
        <v>580564</v>
      </c>
      <c r="J24" s="56">
        <v>40270</v>
      </c>
      <c r="K24" s="56">
        <v>108144</v>
      </c>
      <c r="L24" s="56">
        <f>SUMIFS('[1]Unos rashoda i izdataka'!$K$3:$K$501,'[1]Unos rashoda i izdataka'!$C$3:$C$501,"=552",'[1]Unos rashoda i izdataka'!$P$3:$P$501,"=32")+SUMIFS('[1]Unos rashoda P4'!$I$3:$I$501,'[1]Unos rashoda P4'!$A$3:$A$501,"=552",'[1]Unos rashoda P4'!$S$3:$S$501,"=32")</f>
        <v>0</v>
      </c>
      <c r="M24" s="56">
        <f>SUMIFS('[1]Unos rashoda i izdataka'!$K$3:$K$501,'[1]Unos rashoda i izdataka'!$C$3:$C$501,"=559",'[1]Unos rashoda i izdataka'!$P$3:$P$501,"=32")+SUMIFS('[1]Unos rashoda P4'!$I$3:$I$501,'[1]Unos rashoda P4'!$A$3:$A$501,"=559",'[1]Unos rashoda P4'!$S$3:$S$501,"=32")</f>
        <v>0</v>
      </c>
      <c r="N24" s="56">
        <f>SUMIFS('[1]Unos rashoda i izdataka'!$K$3:$K$501,'[1]Unos rashoda i izdataka'!$C$3:$C$501,"=561",'[1]Unos rashoda i izdataka'!$P$3:$P$501,"=32")+SUMIFS('[1]Unos rashoda P4'!$I$3:$I$501,'[1]Unos rashoda P4'!$A$3:$A$501,"=561",'[1]Unos rashoda P4'!$S$3:$S$501,"=32")</f>
        <v>0</v>
      </c>
      <c r="O24" s="56">
        <f>SUMIFS('[1]Unos rashoda i izdataka'!$K$3:$K$501,'[1]Unos rashoda i izdataka'!$C$3:$C$501,"=563",'[1]Unos rashoda i izdataka'!$P$3:$P$501,"=32")+SUMIFS('[1]Unos rashoda P4'!$I$3:$I$501,'[1]Unos rashoda P4'!$A$3:$A$501,"=563",'[1]Unos rashoda P4'!$S$3:$S$501,"=32")</f>
        <v>0</v>
      </c>
      <c r="P24" s="56">
        <f>SUMIFS('[1]Unos rashoda i izdataka'!$K$3:$K$501,'[1]Unos rashoda i izdataka'!$C$3:$C$501,"=573",'[1]Unos rashoda i izdataka'!$P$3:$P$501,"=32")+SUMIFS('[1]Unos rashoda P4'!$I$3:$I$501,'[1]Unos rashoda P4'!$A$3:$A$501,"=573",'[1]Unos rashoda P4'!$S$3:$S$501,"=32")</f>
        <v>0</v>
      </c>
      <c r="Q24" s="56">
        <f>SUMIFS('[1]Unos rashoda i izdataka'!$K$3:$K$501,'[1]Unos rashoda i izdataka'!$C$3:$C$501,"=575",'[1]Unos rashoda i izdataka'!$P$3:$P$501,"=32")+SUMIFS('[1]Unos rashoda P4'!$I$3:$I$501,'[1]Unos rashoda P4'!$A$3:$A$501,"=575",'[1]Unos rashoda P4'!$S$3:$S$501,"=32")</f>
        <v>0</v>
      </c>
      <c r="R24" s="56">
        <f>SUMIFS('[1]Unos rashoda i izdataka'!$K$3:$K$501,'[1]Unos rashoda i izdataka'!$Q$3:$Q$501,"=576",'[1]Unos rashoda i izdataka'!$P$3:$P$501,"=32")+SUMIFS('[1]Unos rashoda P4'!$I$3:$I$501,'[1]Unos rashoda P4'!$A$3:$A$501,"=576",'[1]Unos rashoda P4'!$S$3:$S$501,"=32")</f>
        <v>0</v>
      </c>
      <c r="S24" s="56">
        <f>SUMIFS('[1]Unos rashoda i izdataka'!$K$3:$K$501,'[1]Unos rashoda i izdataka'!$C$3:$C$501,"=581",'[1]Unos rashoda i izdataka'!$P$3:$P$501,"=32")+SUMIFS('[1]Unos rashoda P4'!$I$3:$I$501,'[1]Unos rashoda P4'!$A$3:$A$501,"=581",'[1]Unos rashoda P4'!$S$3:$S$501,"=32")</f>
        <v>0</v>
      </c>
      <c r="T24" s="56"/>
      <c r="U24" s="56">
        <f>SUMIFS('[1]Unos rashoda i izdataka'!$K$3:$K$501,'[1]Unos rashoda i izdataka'!$C$3:$C$501,"=63",'[1]Unos rashoda i izdataka'!$P$3:$P$501,"=32")+SUMIFS('[1]Unos rashoda P4'!$I$3:$I$501,'[1]Unos rashoda P4'!$A$3:$A$501,"=63",'[1]Unos rashoda P4'!$S$3:$S$501,"=32")</f>
        <v>0</v>
      </c>
      <c r="V24" s="56">
        <f>SUMIFS('[1]Unos rashoda i izdataka'!$K$3:$K$501,'[1]Unos rashoda i izdataka'!$C$3:$C$501,"=71",'[1]Unos rashoda i izdataka'!$P$3:$P$501,"=32")+SUMIFS('[1]Unos rashoda P4'!$I$3:$I$501,'[1]Unos rashoda P4'!$A$3:$A$501,"=71",'[1]Unos rashoda P4'!$S$3:$S$501,"=32")</f>
        <v>0</v>
      </c>
      <c r="W24" s="56">
        <f>SUMIFS('[1]Unos rashoda i izdataka'!$K$3:$K$501,'[1]Unos rashoda i izdataka'!$C$3:$C$501,"=81",'[1]Unos rashoda i izdataka'!$P$3:$P$501,"=32")+SUMIFS('[1]Unos rashoda P4'!$I$3:$I$501,'[1]Unos rashoda P4'!$A$3:$A$501,"=81",'[1]Unos rashoda P4'!$S$3:$S$501,"=32")</f>
        <v>0</v>
      </c>
    </row>
    <row r="25" spans="1:23" x14ac:dyDescent="0.25">
      <c r="A25" s="47">
        <v>2024</v>
      </c>
      <c r="B25" s="57">
        <v>34</v>
      </c>
      <c r="C25" s="58" t="s">
        <v>136</v>
      </c>
      <c r="D25" s="59">
        <f t="shared" si="10"/>
        <v>32731</v>
      </c>
      <c r="E25" s="56">
        <v>6564</v>
      </c>
      <c r="F25" s="56">
        <f>SUMIFS('[1]Unos rashoda i izdataka'!$K$3:$K$501,'[1]Unos rashoda i izdataka'!$C$3:$C$501,"=12",'[1]Unos rashoda i izdataka'!$P$3:$P$501,"=34")+SUMIFS('[1]Unos rashoda P4'!$I$3:$I$501,'[1]Unos rashoda P4'!$A$3:$A$501,"=12",'[1]Unos rashoda P4'!$S$3:$S$501,"=34")</f>
        <v>0</v>
      </c>
      <c r="G25" s="56">
        <f>SUMIFS('[1]Unos rashoda i izdataka'!$K$3:$K$501,'[1]Unos rashoda i izdataka'!$C$3:$C$501,"=31",'[1]Unos rashoda i izdataka'!$P$3:$P$501,"=34")+SUMIFS('[1]Unos rashoda P4'!$I$3:$I$501,'[1]Unos rashoda P4'!$A$3:$A$501,"=31",'[1]Unos rashoda P4'!$S$3:$S$501,"=34")</f>
        <v>0</v>
      </c>
      <c r="H25" s="56">
        <f>SUMIFS('[1]Unos rashoda i izdataka'!$K$3:$K$501,'[1]Unos rashoda i izdataka'!$C$3:$C$501,"=41",'[1]Unos rashoda i izdataka'!$P$3:$P$501,"=34")+SUMIFS('[1]Unos rashoda P4'!$I$3:$I$501,'[1]Unos rashoda P4'!$A$3:$A$501,"=41",'[1]Unos rashoda P4'!$S$3:$S$501,"=34")</f>
        <v>0</v>
      </c>
      <c r="I25" s="56">
        <f>SUMIFS('[1]Unos rashoda i izdataka'!$K$3:$K$501,'[1]Unos rashoda i izdataka'!$C$3:$C$501,"=43",'[1]Unos rashoda i izdataka'!$P$3:$P$501,"=34")+SUMIFS('[1]Unos rashoda P4'!$I$3:$I$501,'[1]Unos rashoda P4'!$A$3:$A$501,"=43",'[1]Unos rashoda P4'!$S$3:$S$501,"=34")</f>
        <v>25040</v>
      </c>
      <c r="J25" s="56">
        <f>SUMIFS('[1]Unos rashoda i izdataka'!$K$3:$K$501,'[1]Unos rashoda i izdataka'!$C$3:$C$501,"=51",'[1]Unos rashoda i izdataka'!$P$3:$P$501,"=34")+SUMIFS('[1]Unos rashoda P4'!$I$3:$I$501,'[1]Unos rashoda P4'!$A$3:$A$501,"=51",'[1]Unos rashoda P4'!$S$3:$S$501,"=34")</f>
        <v>0</v>
      </c>
      <c r="K25" s="56">
        <f>SUMIFS('[1]Unos rashoda i izdataka'!$K$3:$K$501,'[1]Unos rashoda i izdataka'!$C$3:$C$501,"=52",'[1]Unos rashoda i izdataka'!$P$3:$P$501,"=34")+SUMIFS('[1]Unos rashoda P4'!$I$3:$I$501,'[1]Unos rashoda P4'!$A$3:$A$501,"=52",'[1]Unos rashoda P4'!$S$3:$S$501,"=34")</f>
        <v>1127</v>
      </c>
      <c r="L25" s="56">
        <f>SUMIFS('[1]Unos rashoda i izdataka'!$K$3:$K$501,'[1]Unos rashoda i izdataka'!$C$3:$C$501,"=552",'[1]Unos rashoda i izdataka'!$P$3:$P$501,"=34")+SUMIFS('[1]Unos rashoda P4'!$I$3:$I$501,'[1]Unos rashoda P4'!$A$3:$A$501,"=552",'[1]Unos rashoda P4'!$S$3:$S$501,"=34")</f>
        <v>0</v>
      </c>
      <c r="M25" s="56">
        <f>SUMIFS('[1]Unos rashoda i izdataka'!$K$3:$K$501,'[1]Unos rashoda i izdataka'!$C$3:$C$501,"=559",'[1]Unos rashoda i izdataka'!$P$3:$P$501,"=34")+SUMIFS('[1]Unos rashoda P4'!$I$3:$I$501,'[1]Unos rashoda P4'!$A$3:$A$501,"=559",'[1]Unos rashoda P4'!$S$3:$S$501,"=34")</f>
        <v>0</v>
      </c>
      <c r="N25" s="56">
        <f>SUMIFS('[1]Unos rashoda i izdataka'!$K$3:$K$501,'[1]Unos rashoda i izdataka'!$C$3:$C$501,"=561",'[1]Unos rashoda i izdataka'!$P$3:$P$501,"=34")+SUMIFS('[1]Unos rashoda P4'!$I$3:$I$501,'[1]Unos rashoda P4'!$A$3:$A$501,"=561",'[1]Unos rashoda P4'!$S$3:$S$501,"=34")</f>
        <v>0</v>
      </c>
      <c r="O25" s="56">
        <f>SUMIFS('[1]Unos rashoda i izdataka'!$K$3:$K$501,'[1]Unos rashoda i izdataka'!$C$3:$C$501,"=563",'[1]Unos rashoda i izdataka'!$P$3:$P$501,"=34")+SUMIFS('[1]Unos rashoda P4'!$I$3:$I$501,'[1]Unos rashoda P4'!$A$3:$A$501,"=563",'[1]Unos rashoda P4'!$S$3:$S$501,"=34")</f>
        <v>0</v>
      </c>
      <c r="P25" s="56">
        <f>SUMIFS('[1]Unos rashoda i izdataka'!$K$3:$K$501,'[1]Unos rashoda i izdataka'!$C$3:$C$501,"=573",'[1]Unos rashoda i izdataka'!$P$3:$P$501,"=34")+SUMIFS('[1]Unos rashoda P4'!$I$3:$I$501,'[1]Unos rashoda P4'!$A$3:$A$501,"=573",'[1]Unos rashoda P4'!$S$3:$S$501,"=34")</f>
        <v>0</v>
      </c>
      <c r="Q25" s="56">
        <f>SUMIFS('[1]Unos rashoda i izdataka'!$K$3:$K$501,'[1]Unos rashoda i izdataka'!$C$3:$C$501,"=575",'[1]Unos rashoda i izdataka'!$P$3:$P$501,"=34")+SUMIFS('[1]Unos rashoda P4'!$I$3:$I$501,'[1]Unos rashoda P4'!$A$3:$A$501,"=575",'[1]Unos rashoda P4'!$S$3:$S$501,"=34")</f>
        <v>0</v>
      </c>
      <c r="R25" s="56">
        <f>SUMIFS('[1]Unos rashoda i izdataka'!$K$3:$K$501,'[1]Unos rashoda i izdataka'!$Q$3:$Q$501,"=576",'[1]Unos rashoda i izdataka'!$P$3:$P$501,"=34")+SUMIFS('[1]Unos rashoda P4'!$I$3:$I$501,'[1]Unos rashoda P4'!$A$3:$A$501,"=576",'[1]Unos rashoda P4'!$S$3:$S$501,"=34")</f>
        <v>0</v>
      </c>
      <c r="S25" s="56">
        <f>SUMIFS('[1]Unos rashoda i izdataka'!$K$3:$K$501,'[1]Unos rashoda i izdataka'!$C$3:$C$501,"=581",'[1]Unos rashoda i izdataka'!$P$3:$P$501,"=34")+SUMIFS('[1]Unos rashoda P4'!$I$3:$I$501,'[1]Unos rashoda P4'!$A$3:$A$501,"=581",'[1]Unos rashoda P4'!$S$3:$S$501,"=34")</f>
        <v>0</v>
      </c>
      <c r="T25" s="56">
        <f>SUMIFS('[1]Unos rashoda i izdataka'!$K$3:$K$501,'[1]Unos rashoda i izdataka'!$C$3:$C$501,"=61",'[1]Unos rashoda i izdataka'!$P$3:$P$501,"=34")+SUMIFS('[1]Unos rashoda P4'!$I$3:$I$501,'[1]Unos rashoda P4'!$A$3:$A$501,"=61",'[1]Unos rashoda P4'!$S$3:$S$501,"=34")</f>
        <v>0</v>
      </c>
      <c r="U25" s="56">
        <f>SUMIFS('[1]Unos rashoda i izdataka'!$K$3:$K$501,'[1]Unos rashoda i izdataka'!$C$3:$C$501,"=63",'[1]Unos rashoda i izdataka'!$P$3:$P$501,"=34")+SUMIFS('[1]Unos rashoda P4'!$I$3:$I$501,'[1]Unos rashoda P4'!$A$3:$A$501,"=63",'[1]Unos rashoda P4'!$S$3:$S$501,"=34")</f>
        <v>0</v>
      </c>
      <c r="V25" s="56">
        <f>SUMIFS('[1]Unos rashoda i izdataka'!$K$3:$K$501,'[1]Unos rashoda i izdataka'!$C$3:$C$501,"=71",'[1]Unos rashoda i izdataka'!$P$3:$P$501,"=34")+SUMIFS('[1]Unos rashoda P4'!$I$3:$I$501,'[1]Unos rashoda P4'!$A$3:$A$501,"=71",'[1]Unos rashoda P4'!$S$3:$S$501,"=34")</f>
        <v>0</v>
      </c>
      <c r="W25" s="56">
        <f>SUMIFS('[1]Unos rashoda i izdataka'!$K$3:$K$501,'[1]Unos rashoda i izdataka'!$C$3:$C$501,"=81",'[1]Unos rashoda i izdataka'!$P$3:$P$501,"=34")+SUMIFS('[1]Unos rashoda P4'!$I$3:$I$501,'[1]Unos rashoda P4'!$A$3:$A$501,"=81",'[1]Unos rashoda P4'!$S$3:$S$501,"=34")</f>
        <v>0</v>
      </c>
    </row>
    <row r="26" spans="1:23" x14ac:dyDescent="0.25">
      <c r="A26" s="47">
        <v>2024</v>
      </c>
      <c r="B26" s="57">
        <v>35</v>
      </c>
      <c r="C26" s="58" t="s">
        <v>137</v>
      </c>
      <c r="D26" s="59">
        <f t="shared" si="10"/>
        <v>0</v>
      </c>
      <c r="E26" s="56">
        <f>SUMIFS('[1]Unos rashoda i izdataka'!$K$3:$K$501,'[1]Unos rashoda i izdataka'!$C$3:$C$501,"=11",'[1]Unos rashoda i izdataka'!$P$3:$P$501,"=35")+SUMIFS('[1]Unos rashoda P4'!$I$3:$I$501,'[1]Unos rashoda P4'!$A$3:$A$501,"=11",'[1]Unos rashoda P4'!$S$3:$S$501,"=35")</f>
        <v>0</v>
      </c>
      <c r="F26" s="56">
        <f>SUMIFS('[1]Unos rashoda i izdataka'!$K$3:$K$501,'[1]Unos rashoda i izdataka'!$C$3:$C$501,"=12",'[1]Unos rashoda i izdataka'!$P$3:$P$501,"=35")+SUMIFS('[1]Unos rashoda P4'!$I$3:$I$501,'[1]Unos rashoda P4'!$A$3:$A$501,"=12",'[1]Unos rashoda P4'!$S$3:$S$501,"=35")</f>
        <v>0</v>
      </c>
      <c r="G26" s="56">
        <f>SUMIFS('[1]Unos rashoda i izdataka'!$K$3:$K$501,'[1]Unos rashoda i izdataka'!$C$3:$C$501,"=31",'[1]Unos rashoda i izdataka'!$P$3:$P$501,"=35")+SUMIFS('[1]Unos rashoda P4'!$I$3:$I$501,'[1]Unos rashoda P4'!$A$3:$A$501,"=31",'[1]Unos rashoda P4'!$S$3:$S$501,"=35")</f>
        <v>0</v>
      </c>
      <c r="H26" s="56">
        <f>SUMIFS('[1]Unos rashoda i izdataka'!$K$3:$K$501,'[1]Unos rashoda i izdataka'!$C$3:$C$501,"=41",'[1]Unos rashoda i izdataka'!$P$3:$P$501,"=35")+SUMIFS('[1]Unos rashoda P4'!$I$3:$I$501,'[1]Unos rashoda P4'!$A$3:$A$501,"=41",'[1]Unos rashoda P4'!$S$3:$S$501,"=35")</f>
        <v>0</v>
      </c>
      <c r="I26" s="56">
        <f>SUMIFS('[1]Unos rashoda i izdataka'!$K$3:$K$501,'[1]Unos rashoda i izdataka'!$C$3:$C$501,"=43",'[1]Unos rashoda i izdataka'!$P$3:$P$501,"=35")+SUMIFS('[1]Unos rashoda P4'!$I$3:$I$501,'[1]Unos rashoda P4'!$A$3:$A$501,"=43",'[1]Unos rashoda P4'!$S$3:$S$501,"=35")</f>
        <v>0</v>
      </c>
      <c r="J26" s="56">
        <f>SUMIFS('[1]Unos rashoda i izdataka'!$K$3:$K$501,'[1]Unos rashoda i izdataka'!$C$3:$C$501,"=51",'[1]Unos rashoda i izdataka'!$P$3:$P$501,"=35")+SUMIFS('[1]Unos rashoda P4'!$I$3:$I$501,'[1]Unos rashoda P4'!$A$3:$A$501,"=51",'[1]Unos rashoda P4'!$S$3:$S$501,"=35")</f>
        <v>0</v>
      </c>
      <c r="K26" s="56">
        <f>SUMIFS('[1]Unos rashoda i izdataka'!$K$3:$K$501,'[1]Unos rashoda i izdataka'!$C$3:$C$501,"=52",'[1]Unos rashoda i izdataka'!$P$3:$P$501,"=35")+SUMIFS('[1]Unos rashoda P4'!$I$3:$I$501,'[1]Unos rashoda P4'!$A$3:$A$501,"=52",'[1]Unos rashoda P4'!$S$3:$S$501,"=35")</f>
        <v>0</v>
      </c>
      <c r="L26" s="56">
        <f>SUMIFS('[1]Unos rashoda i izdataka'!$K$3:$K$501,'[1]Unos rashoda i izdataka'!$C$3:$C$501,"=552",'[1]Unos rashoda i izdataka'!$P$3:$P$501,"=35")+SUMIFS('[1]Unos rashoda P4'!$I$3:$I$501,'[1]Unos rashoda P4'!$A$3:$A$501,"=552",'[1]Unos rashoda P4'!$S$3:$S$501,"=35")</f>
        <v>0</v>
      </c>
      <c r="M26" s="56">
        <f>SUMIFS('[1]Unos rashoda i izdataka'!$K$3:$K$501,'[1]Unos rashoda i izdataka'!$C$3:$C$501,"=559",'[1]Unos rashoda i izdataka'!$P$3:$P$501,"=35")+SUMIFS('[1]Unos rashoda P4'!$I$3:$I$501,'[1]Unos rashoda P4'!$A$3:$A$501,"=559",'[1]Unos rashoda P4'!$S$3:$S$501,"=35")</f>
        <v>0</v>
      </c>
      <c r="N26" s="56">
        <f>SUMIFS('[1]Unos rashoda i izdataka'!$K$3:$K$501,'[1]Unos rashoda i izdataka'!$C$3:$C$501,"=561",'[1]Unos rashoda i izdataka'!$P$3:$P$501,"=35")+SUMIFS('[1]Unos rashoda P4'!$I$3:$I$501,'[1]Unos rashoda P4'!$A$3:$A$501,"=561",'[1]Unos rashoda P4'!$S$3:$S$501,"=35")</f>
        <v>0</v>
      </c>
      <c r="O26" s="56">
        <f>SUMIFS('[1]Unos rashoda i izdataka'!$K$3:$K$501,'[1]Unos rashoda i izdataka'!$C$3:$C$501,"=563",'[1]Unos rashoda i izdataka'!$P$3:$P$501,"=35")+SUMIFS('[1]Unos rashoda P4'!$I$3:$I$501,'[1]Unos rashoda P4'!$A$3:$A$501,"=563",'[1]Unos rashoda P4'!$S$3:$S$501,"=35")</f>
        <v>0</v>
      </c>
      <c r="P26" s="56">
        <f>SUMIFS('[1]Unos rashoda i izdataka'!$K$3:$K$501,'[1]Unos rashoda i izdataka'!$C$3:$C$501,"=573",'[1]Unos rashoda i izdataka'!$P$3:$P$501,"=35")+SUMIFS('[1]Unos rashoda P4'!$I$3:$I$501,'[1]Unos rashoda P4'!$A$3:$A$501,"=573",'[1]Unos rashoda P4'!$S$3:$S$501,"=35")</f>
        <v>0</v>
      </c>
      <c r="Q26" s="56">
        <f>SUMIFS('[1]Unos rashoda i izdataka'!$K$3:$K$501,'[1]Unos rashoda i izdataka'!$C$3:$C$501,"=575",'[1]Unos rashoda i izdataka'!$P$3:$P$501,"=35")+SUMIFS('[1]Unos rashoda P4'!$I$3:$I$501,'[1]Unos rashoda P4'!$A$3:$A$501,"=575",'[1]Unos rashoda P4'!$S$3:$S$501,"=35")</f>
        <v>0</v>
      </c>
      <c r="R26" s="56">
        <f>SUMIFS('[1]Unos rashoda i izdataka'!$K$3:$K$501,'[1]Unos rashoda i izdataka'!$Q$3:$Q$501,"=576",'[1]Unos rashoda i izdataka'!$P$3:$P$501,"=35")+SUMIFS('[1]Unos rashoda P4'!$I$3:$I$501,'[1]Unos rashoda P4'!$A$3:$A$501,"=576",'[1]Unos rashoda P4'!$S$3:$S$501,"=35")</f>
        <v>0</v>
      </c>
      <c r="S26" s="56">
        <f>SUMIFS('[1]Unos rashoda i izdataka'!$K$3:$K$501,'[1]Unos rashoda i izdataka'!$C$3:$C$501,"=581",'[1]Unos rashoda i izdataka'!$P$3:$P$501,"=35")+SUMIFS('[1]Unos rashoda P4'!$I$3:$I$501,'[1]Unos rashoda P4'!$A$3:$A$501,"=581",'[1]Unos rashoda P4'!$S$3:$S$501,"=35")</f>
        <v>0</v>
      </c>
      <c r="T26" s="56">
        <f>SUMIFS('[1]Unos rashoda i izdataka'!$K$3:$K$501,'[1]Unos rashoda i izdataka'!$C$3:$C$501,"=61",'[1]Unos rashoda i izdataka'!$P$3:$P$501,"=35")+SUMIFS('[1]Unos rashoda P4'!$I$3:$I$501,'[1]Unos rashoda P4'!$A$3:$A$501,"=61",'[1]Unos rashoda P4'!$S$3:$S$501,"=35")</f>
        <v>0</v>
      </c>
      <c r="U26" s="56">
        <f>SUMIFS('[1]Unos rashoda i izdataka'!$K$3:$K$501,'[1]Unos rashoda i izdataka'!$C$3:$C$501,"=63",'[1]Unos rashoda i izdataka'!$P$3:$P$501,"=35")+SUMIFS('[1]Unos rashoda P4'!$I$3:$I$501,'[1]Unos rashoda P4'!$A$3:$A$501,"=63",'[1]Unos rashoda P4'!$S$3:$S$501,"=35")</f>
        <v>0</v>
      </c>
      <c r="V26" s="56">
        <f>SUMIFS('[1]Unos rashoda i izdataka'!$K$3:$K$501,'[1]Unos rashoda i izdataka'!$C$3:$C$501,"=71",'[1]Unos rashoda i izdataka'!$P$3:$P$501,"=35")+SUMIFS('[1]Unos rashoda P4'!$I$3:$I$501,'[1]Unos rashoda P4'!$A$3:$A$501,"=71",'[1]Unos rashoda P4'!$S$3:$S$501,"=35")</f>
        <v>0</v>
      </c>
      <c r="W26" s="56">
        <f>SUMIFS('[1]Unos rashoda i izdataka'!$K$3:$K$501,'[1]Unos rashoda i izdataka'!$C$3:$C$501,"=81",'[1]Unos rashoda i izdataka'!$P$3:$P$501,"=35")+SUMIFS('[1]Unos rashoda P4'!$I$3:$I$501,'[1]Unos rashoda P4'!$A$3:$A$501,"=81",'[1]Unos rashoda P4'!$S$3:$S$501,"=35")</f>
        <v>0</v>
      </c>
    </row>
    <row r="27" spans="1:23" x14ac:dyDescent="0.25">
      <c r="A27" s="47">
        <v>2024</v>
      </c>
      <c r="B27" s="57">
        <v>36</v>
      </c>
      <c r="C27" s="60" t="s">
        <v>138</v>
      </c>
      <c r="D27" s="59">
        <f t="shared" si="10"/>
        <v>619604</v>
      </c>
      <c r="E27" s="56">
        <v>142446</v>
      </c>
      <c r="F27" s="56">
        <f>SUMIFS('[1]Unos rashoda i izdataka'!$K$3:$K$501,'[1]Unos rashoda i izdataka'!$C$3:$C$501,"=12",'[1]Unos rashoda i izdataka'!$P$3:$P$501,"=36")+SUMIFS('[1]Unos rashoda P4'!$I$3:$I$501,'[1]Unos rashoda P4'!$A$3:$A$501,"=12",'[1]Unos rashoda P4'!$S$3:$S$501,"=36")</f>
        <v>0</v>
      </c>
      <c r="G27" s="56">
        <f>SUMIFS('[1]Unos rashoda i izdataka'!$K$3:$K$501,'[1]Unos rashoda i izdataka'!$C$3:$C$501,"=31",'[1]Unos rashoda i izdataka'!$P$3:$P$501,"=36")+SUMIFS('[1]Unos rashoda P4'!$I$3:$I$501,'[1]Unos rashoda P4'!$A$3:$A$501,"=31",'[1]Unos rashoda P4'!$S$3:$S$501,"=36")</f>
        <v>0</v>
      </c>
      <c r="H27" s="56">
        <f>SUMIFS('[1]Unos rashoda i izdataka'!$K$3:$K$501,'[1]Unos rashoda i izdataka'!$C$3:$C$501,"=41",'[1]Unos rashoda i izdataka'!$P$3:$P$501,"=36")+SUMIFS('[1]Unos rashoda P4'!$I$3:$I$501,'[1]Unos rashoda P4'!$A$3:$A$501,"=41",'[1]Unos rashoda P4'!$S$3:$S$501,"=36")</f>
        <v>0</v>
      </c>
      <c r="I27" s="56">
        <f>SUMIFS('[1]Unos rashoda i izdataka'!$K$3:$K$501,'[1]Unos rashoda i izdataka'!$C$3:$C$501,"=43",'[1]Unos rashoda i izdataka'!$P$3:$P$501,"=36")+SUMIFS('[1]Unos rashoda P4'!$I$3:$I$501,'[1]Unos rashoda P4'!$A$3:$A$501,"=43",'[1]Unos rashoda P4'!$S$3:$S$501,"=36")</f>
        <v>87177</v>
      </c>
      <c r="J27" s="56">
        <f>SUMIFS('[1]Unos rashoda i izdataka'!$K$3:$K$501,'[1]Unos rashoda i izdataka'!$C$3:$C$501,"=51",'[1]Unos rashoda i izdataka'!$P$3:$P$501,"=36")+SUMIFS('[1]Unos rashoda P4'!$I$3:$I$501,'[1]Unos rashoda P4'!$A$3:$A$501,"=51",'[1]Unos rashoda P4'!$S$3:$S$501,"=36")</f>
        <v>84176</v>
      </c>
      <c r="K27" s="56">
        <v>305805</v>
      </c>
      <c r="L27" s="56">
        <f>SUMIFS('[1]Unos rashoda i izdataka'!$K$3:$K$501,'[1]Unos rashoda i izdataka'!$C$3:$C$501,"=552",'[1]Unos rashoda i izdataka'!$P$3:$P$501,"=36")+SUMIFS('[1]Unos rashoda P4'!$I$3:$I$501,'[1]Unos rashoda P4'!$A$3:$A$501,"=552",'[1]Unos rashoda P4'!$S$3:$S$501,"=36")</f>
        <v>0</v>
      </c>
      <c r="M27" s="56">
        <f>SUMIFS('[1]Unos rashoda i izdataka'!$K$3:$K$501,'[1]Unos rashoda i izdataka'!$C$3:$C$501,"=559",'[1]Unos rashoda i izdataka'!$P$3:$P$501,"=36")+SUMIFS('[1]Unos rashoda P4'!$I$3:$I$501,'[1]Unos rashoda P4'!$A$3:$A$501,"=559",'[1]Unos rashoda P4'!$S$3:$S$501,"=36")</f>
        <v>0</v>
      </c>
      <c r="N27" s="56">
        <f>SUMIFS('[1]Unos rashoda i izdataka'!$K$3:$K$501,'[1]Unos rashoda i izdataka'!$C$3:$C$501,"=561",'[1]Unos rashoda i izdataka'!$P$3:$P$501,"=36")+SUMIFS('[1]Unos rashoda P4'!$I$3:$I$501,'[1]Unos rashoda P4'!$A$3:$A$501,"=561",'[1]Unos rashoda P4'!$S$3:$S$501,"=36")</f>
        <v>0</v>
      </c>
      <c r="O27" s="56">
        <f>SUMIFS('[1]Unos rashoda i izdataka'!$K$3:$K$501,'[1]Unos rashoda i izdataka'!$C$3:$C$501,"=563",'[1]Unos rashoda i izdataka'!$P$3:$P$501,"=36")+SUMIFS('[1]Unos rashoda P4'!$I$3:$I$501,'[1]Unos rashoda P4'!$A$3:$A$501,"=563",'[1]Unos rashoda P4'!$S$3:$S$501,"=36")</f>
        <v>0</v>
      </c>
      <c r="P27" s="56">
        <f>SUMIFS('[1]Unos rashoda i izdataka'!$K$3:$K$501,'[1]Unos rashoda i izdataka'!$C$3:$C$501,"=573",'[1]Unos rashoda i izdataka'!$P$3:$P$501,"=36")+SUMIFS('[1]Unos rashoda P4'!$I$3:$I$501,'[1]Unos rashoda P4'!$A$3:$A$501,"=573",'[1]Unos rashoda P4'!$S$3:$S$501,"=36")</f>
        <v>0</v>
      </c>
      <c r="Q27" s="56">
        <f>SUMIFS('[1]Unos rashoda i izdataka'!$K$3:$K$501,'[1]Unos rashoda i izdataka'!$C$3:$C$501,"=575",'[1]Unos rashoda i izdataka'!$P$3:$P$501,"=36")+SUMIFS('[1]Unos rashoda P4'!$I$3:$I$501,'[1]Unos rashoda P4'!$A$3:$A$501,"=575",'[1]Unos rashoda P4'!$S$3:$S$501,"=36")</f>
        <v>0</v>
      </c>
      <c r="R27" s="56">
        <f>SUMIFS('[1]Unos rashoda i izdataka'!$K$3:$K$501,'[1]Unos rashoda i izdataka'!$Q$3:$Q$501,"=576",'[1]Unos rashoda i izdataka'!$P$3:$P$501,"=36")+SUMIFS('[1]Unos rashoda P4'!$I$3:$I$501,'[1]Unos rashoda P4'!$A$3:$A$501,"=576",'[1]Unos rashoda P4'!$S$3:$S$501,"=36")</f>
        <v>0</v>
      </c>
      <c r="S27" s="56">
        <f>SUMIFS('[1]Unos rashoda i izdataka'!$K$3:$K$501,'[1]Unos rashoda i izdataka'!$C$3:$C$501,"=581",'[1]Unos rashoda i izdataka'!$P$3:$P$501,"=36")+SUMIFS('[1]Unos rashoda P4'!$I$3:$I$501,'[1]Unos rashoda P4'!$A$3:$A$501,"=581",'[1]Unos rashoda P4'!$S$3:$S$501,"=36")</f>
        <v>0</v>
      </c>
      <c r="T27" s="56">
        <f>SUMIFS('[1]Unos rashoda i izdataka'!$K$3:$K$501,'[1]Unos rashoda i izdataka'!$C$3:$C$501,"=61",'[1]Unos rashoda i izdataka'!$P$3:$P$501,"=36")+SUMIFS('[1]Unos rashoda P4'!$I$3:$I$501,'[1]Unos rashoda P4'!$A$3:$A$501,"=61",'[1]Unos rashoda P4'!$S$3:$S$501,"=36")</f>
        <v>0</v>
      </c>
      <c r="U27" s="56">
        <f>SUMIFS('[1]Unos rashoda i izdataka'!$K$3:$K$501,'[1]Unos rashoda i izdataka'!$C$3:$C$501,"=63",'[1]Unos rashoda i izdataka'!$P$3:$P$501,"=36")+SUMIFS('[1]Unos rashoda P4'!$I$3:$I$501,'[1]Unos rashoda P4'!$A$3:$A$501,"=63",'[1]Unos rashoda P4'!$S$3:$S$501,"=36")</f>
        <v>0</v>
      </c>
      <c r="V27" s="56">
        <f>SUMIFS('[1]Unos rashoda i izdataka'!$K$3:$K$501,'[1]Unos rashoda i izdataka'!$C$3:$C$501,"=71",'[1]Unos rashoda i izdataka'!$P$3:$P$501,"=36")+SUMIFS('[1]Unos rashoda P4'!$I$3:$I$501,'[1]Unos rashoda P4'!$A$3:$A$501,"=71",'[1]Unos rashoda P4'!$S$3:$S$501,"=36")</f>
        <v>0</v>
      </c>
      <c r="W27" s="56">
        <f>SUMIFS('[1]Unos rashoda i izdataka'!$K$3:$K$501,'[1]Unos rashoda i izdataka'!$C$3:$C$501,"=81",'[1]Unos rashoda i izdataka'!$P$3:$P$501,"=36")+SUMIFS('[1]Unos rashoda P4'!$I$3:$I$501,'[1]Unos rashoda P4'!$A$3:$A$501,"=81",'[1]Unos rashoda P4'!$S$3:$S$501,"=36")</f>
        <v>0</v>
      </c>
    </row>
    <row r="28" spans="1:23" x14ac:dyDescent="0.25">
      <c r="A28" s="47">
        <v>2024</v>
      </c>
      <c r="B28" s="57">
        <v>37</v>
      </c>
      <c r="C28" s="58" t="s">
        <v>139</v>
      </c>
      <c r="D28" s="59">
        <f t="shared" si="10"/>
        <v>129265</v>
      </c>
      <c r="E28" s="56">
        <f>SUMIFS('[1]Unos rashoda i izdataka'!$K$3:$K$501,'[1]Unos rashoda i izdataka'!$C$3:$C$501,"=11",'[1]Unos rashoda i izdataka'!$P$3:$P$501,"=37")+SUMIFS('[1]Unos rashoda P4'!$I$3:$I$501,'[1]Unos rashoda P4'!$A$3:$A$501,"=11",'[1]Unos rashoda P4'!$S$3:$S$501,"=37")</f>
        <v>0</v>
      </c>
      <c r="F28" s="56">
        <f>SUMIFS('[1]Unos rashoda i izdataka'!$K$3:$K$501,'[1]Unos rashoda i izdataka'!$C$3:$C$501,"=12",'[1]Unos rashoda i izdataka'!$P$3:$P$501,"=37")+SUMIFS('[1]Unos rashoda P4'!$I$3:$I$501,'[1]Unos rashoda P4'!$A$3:$A$501,"=12",'[1]Unos rashoda P4'!$S$3:$S$501,"=37")</f>
        <v>0</v>
      </c>
      <c r="G28" s="56">
        <f>SUMIFS('[1]Unos rashoda i izdataka'!$K$3:$K$501,'[1]Unos rashoda i izdataka'!$C$3:$C$501,"=31",'[1]Unos rashoda i izdataka'!$P$3:$P$501,"=37")+SUMIFS('[1]Unos rashoda P4'!$I$3:$I$501,'[1]Unos rashoda P4'!$A$3:$A$501,"=31",'[1]Unos rashoda P4'!$S$3:$S$501,"=37")</f>
        <v>0</v>
      </c>
      <c r="H28" s="56">
        <f>SUMIFS('[1]Unos rashoda i izdataka'!$K$3:$K$501,'[1]Unos rashoda i izdataka'!$C$3:$C$501,"=41",'[1]Unos rashoda i izdataka'!$P$3:$P$501,"=37")+SUMIFS('[1]Unos rashoda P4'!$I$3:$I$501,'[1]Unos rashoda P4'!$A$3:$A$501,"=41",'[1]Unos rashoda P4'!$S$3:$S$501,"=37")</f>
        <v>0</v>
      </c>
      <c r="I28" s="56">
        <f>SUMIFS('[1]Unos rashoda i izdataka'!$K$3:$K$501,'[1]Unos rashoda i izdataka'!$C$3:$C$501,"=43",'[1]Unos rashoda i izdataka'!$P$3:$P$501,"=37")+SUMIFS('[1]Unos rashoda P4'!$I$3:$I$501,'[1]Unos rashoda P4'!$A$3:$A$501,"=43",'[1]Unos rashoda P4'!$S$3:$S$501,"=37")</f>
        <v>1990</v>
      </c>
      <c r="J28" s="56">
        <f>SUMIFS('[1]Unos rashoda i izdataka'!$K$3:$K$501,'[1]Unos rashoda i izdataka'!$C$3:$C$501,"=51",'[1]Unos rashoda i izdataka'!$P$3:$P$501,"=37")+SUMIFS('[1]Unos rashoda P4'!$I$3:$I$501,'[1]Unos rashoda P4'!$A$3:$A$501,"=51",'[1]Unos rashoda P4'!$S$3:$S$501,"=37")</f>
        <v>0</v>
      </c>
      <c r="K28" s="56">
        <f>SUMIFS('[1]Unos rashoda i izdataka'!$K$3:$K$501,'[1]Unos rashoda i izdataka'!$C$3:$C$501,"=52",'[1]Unos rashoda i izdataka'!$P$3:$P$501,"=37")+SUMIFS('[1]Unos rashoda P4'!$I$3:$I$501,'[1]Unos rashoda P4'!$A$3:$A$501,"=52",'[1]Unos rashoda P4'!$S$3:$S$501,"=37")</f>
        <v>127275</v>
      </c>
      <c r="L28" s="56">
        <f>SUMIFS('[1]Unos rashoda i izdataka'!$K$3:$K$501,'[1]Unos rashoda i izdataka'!$C$3:$C$501,"=552",'[1]Unos rashoda i izdataka'!$P$3:$P$501,"=37")+SUMIFS('[1]Unos rashoda P4'!$I$3:$I$501,'[1]Unos rashoda P4'!$A$3:$A$501,"=552",'[1]Unos rashoda P4'!$S$3:$S$501,"=37")</f>
        <v>0</v>
      </c>
      <c r="M28" s="56">
        <f>SUMIFS('[1]Unos rashoda i izdataka'!$K$3:$K$501,'[1]Unos rashoda i izdataka'!$C$3:$C$501,"=559",'[1]Unos rashoda i izdataka'!$P$3:$P$501,"=37")+SUMIFS('[1]Unos rashoda P4'!$I$3:$I$501,'[1]Unos rashoda P4'!$A$3:$A$501,"=559",'[1]Unos rashoda P4'!$S$3:$S$501,"=37")</f>
        <v>0</v>
      </c>
      <c r="N28" s="56">
        <f>SUMIFS('[1]Unos rashoda i izdataka'!$K$3:$K$501,'[1]Unos rashoda i izdataka'!$C$3:$C$501,"=561",'[1]Unos rashoda i izdataka'!$P$3:$P$501,"=37")+SUMIFS('[1]Unos rashoda P4'!$I$3:$I$501,'[1]Unos rashoda P4'!$A$3:$A$501,"=561",'[1]Unos rashoda P4'!$S$3:$S$501,"=37")</f>
        <v>0</v>
      </c>
      <c r="O28" s="56">
        <f>SUMIFS('[1]Unos rashoda i izdataka'!$K$3:$K$501,'[1]Unos rashoda i izdataka'!$C$3:$C$501,"=563",'[1]Unos rashoda i izdataka'!$P$3:$P$501,"=37")+SUMIFS('[1]Unos rashoda P4'!$I$3:$I$501,'[1]Unos rashoda P4'!$A$3:$A$501,"=563",'[1]Unos rashoda P4'!$S$3:$S$501,"=37")</f>
        <v>0</v>
      </c>
      <c r="P28" s="56">
        <f>SUMIFS('[1]Unos rashoda i izdataka'!$K$3:$K$501,'[1]Unos rashoda i izdataka'!$C$3:$C$501,"=573",'[1]Unos rashoda i izdataka'!$P$3:$P$501,"=37")+SUMIFS('[1]Unos rashoda P4'!$I$3:$I$501,'[1]Unos rashoda P4'!$A$3:$A$501,"=573",'[1]Unos rashoda P4'!$S$3:$S$501,"=37")</f>
        <v>0</v>
      </c>
      <c r="Q28" s="56">
        <f>SUMIFS('[1]Unos rashoda i izdataka'!$K$3:$K$501,'[1]Unos rashoda i izdataka'!$C$3:$C$501,"=575",'[1]Unos rashoda i izdataka'!$P$3:$P$501,"=37")+SUMIFS('[1]Unos rashoda P4'!$I$3:$I$501,'[1]Unos rashoda P4'!$A$3:$A$501,"=575",'[1]Unos rashoda P4'!$S$3:$S$501,"=37")</f>
        <v>0</v>
      </c>
      <c r="R28" s="56">
        <f>SUMIFS('[1]Unos rashoda i izdataka'!$K$3:$K$501,'[1]Unos rashoda i izdataka'!$Q$3:$Q$501,"=576",'[1]Unos rashoda i izdataka'!$P$3:$P$501,"=37")+SUMIFS('[1]Unos rashoda P4'!$I$3:$I$501,'[1]Unos rashoda P4'!$A$3:$A$501,"=576",'[1]Unos rashoda P4'!$S$3:$S$501,"=37")</f>
        <v>0</v>
      </c>
      <c r="S28" s="56">
        <f>SUMIFS('[1]Unos rashoda i izdataka'!$K$3:$K$501,'[1]Unos rashoda i izdataka'!$C$3:$C$501,"=581",'[1]Unos rashoda i izdataka'!$P$3:$P$501,"=37")+SUMIFS('[1]Unos rashoda P4'!$I$3:$I$501,'[1]Unos rashoda P4'!$A$3:$A$501,"=581",'[1]Unos rashoda P4'!$S$3:$S$501,"=37")</f>
        <v>0</v>
      </c>
      <c r="T28" s="56">
        <f>SUMIFS('[1]Unos rashoda i izdataka'!$K$3:$K$501,'[1]Unos rashoda i izdataka'!$C$3:$C$501,"=61",'[1]Unos rashoda i izdataka'!$P$3:$P$501,"=37")+SUMIFS('[1]Unos rashoda P4'!$I$3:$I$501,'[1]Unos rashoda P4'!$A$3:$A$501,"=61",'[1]Unos rashoda P4'!$S$3:$S$501,"=37")</f>
        <v>0</v>
      </c>
      <c r="U28" s="56">
        <f>SUMIFS('[1]Unos rashoda i izdataka'!$K$3:$K$501,'[1]Unos rashoda i izdataka'!$C$3:$C$501,"=63",'[1]Unos rashoda i izdataka'!$P$3:$P$501,"=37")+SUMIFS('[1]Unos rashoda P4'!$I$3:$I$501,'[1]Unos rashoda P4'!$A$3:$A$501,"=63",'[1]Unos rashoda P4'!$S$3:$S$501,"=37")</f>
        <v>0</v>
      </c>
      <c r="V28" s="56">
        <f>SUMIFS('[1]Unos rashoda i izdataka'!$K$3:$K$501,'[1]Unos rashoda i izdataka'!$C$3:$C$501,"=71",'[1]Unos rashoda i izdataka'!$P$3:$P$501,"=37")+SUMIFS('[1]Unos rashoda P4'!$I$3:$I$501,'[1]Unos rashoda P4'!$A$3:$A$501,"=71",'[1]Unos rashoda P4'!$S$3:$S$501,"=37")</f>
        <v>0</v>
      </c>
      <c r="W28" s="56">
        <f>SUMIFS('[1]Unos rashoda i izdataka'!$K$3:$K$501,'[1]Unos rashoda i izdataka'!$C$3:$C$501,"=81",'[1]Unos rashoda i izdataka'!$P$3:$P$501,"=37")+SUMIFS('[1]Unos rashoda P4'!$I$3:$I$501,'[1]Unos rashoda P4'!$A$3:$A$501,"=81",'[1]Unos rashoda P4'!$S$3:$S$501,"=37")</f>
        <v>0</v>
      </c>
    </row>
    <row r="29" spans="1:23" x14ac:dyDescent="0.25">
      <c r="A29" s="47">
        <v>2024</v>
      </c>
      <c r="B29" s="57">
        <v>38</v>
      </c>
      <c r="C29" s="58" t="s">
        <v>140</v>
      </c>
      <c r="D29" s="59">
        <f t="shared" si="10"/>
        <v>471072</v>
      </c>
      <c r="E29" s="56">
        <v>41072</v>
      </c>
      <c r="F29" s="56">
        <f>SUMIFS('[1]Unos rashoda i izdataka'!$K$3:$K$501,'[1]Unos rashoda i izdataka'!$C$3:$C$501,"=12",'[1]Unos rashoda i izdataka'!$P$3:$P$501,"=38")+SUMIFS('[1]Unos rashoda P4'!$I$3:$I$501,'[1]Unos rashoda P4'!$A$3:$A$501,"=12",'[1]Unos rashoda P4'!$S$3:$S$501,"=38")</f>
        <v>0</v>
      </c>
      <c r="G29" s="56">
        <f>SUMIFS('[1]Unos rashoda i izdataka'!$K$3:$K$501,'[1]Unos rashoda i izdataka'!$C$3:$C$501,"=31",'[1]Unos rashoda i izdataka'!$P$3:$P$501,"=38")+SUMIFS('[1]Unos rashoda P4'!$I$3:$I$501,'[1]Unos rashoda P4'!$A$3:$A$501,"=31",'[1]Unos rashoda P4'!$S$3:$S$501,"=38")</f>
        <v>0</v>
      </c>
      <c r="H29" s="56">
        <f>SUMIFS('[1]Unos rashoda i izdataka'!$K$3:$K$501,'[1]Unos rashoda i izdataka'!$C$3:$C$501,"=41",'[1]Unos rashoda i izdataka'!$P$3:$P$501,"=38")+SUMIFS('[1]Unos rashoda P4'!$I$3:$I$501,'[1]Unos rashoda P4'!$A$3:$A$501,"=41",'[1]Unos rashoda P4'!$S$3:$S$501,"=38")</f>
        <v>0</v>
      </c>
      <c r="I29" s="56">
        <f>SUMIFS('[1]Unos rashoda i izdataka'!$K$3:$K$501,'[1]Unos rashoda i izdataka'!$C$3:$C$501,"=43",'[1]Unos rashoda i izdataka'!$P$3:$P$501,"=38")+SUMIFS('[1]Unos rashoda P4'!$I$3:$I$501,'[1]Unos rashoda P4'!$A$3:$A$501,"=43",'[1]Unos rashoda P4'!$S$3:$S$501,"=38")</f>
        <v>430000</v>
      </c>
      <c r="J29" s="56">
        <f>SUMIFS('[1]Unos rashoda i izdataka'!$K$3:$K$501,'[1]Unos rashoda i izdataka'!$C$3:$C$501,"=51",'[1]Unos rashoda i izdataka'!$P$3:$P$501,"=38")+SUMIFS('[1]Unos rashoda P4'!$I$3:$I$501,'[1]Unos rashoda P4'!$A$3:$A$501,"=51",'[1]Unos rashoda P4'!$S$3:$S$501,"=38")</f>
        <v>0</v>
      </c>
      <c r="K29" s="56">
        <f>SUMIFS('[1]Unos rashoda i izdataka'!$K$3:$K$501,'[1]Unos rashoda i izdataka'!$C$3:$C$501,"=52",'[1]Unos rashoda i izdataka'!$P$3:$P$501,"=38")+SUMIFS('[1]Unos rashoda P4'!$I$3:$I$501,'[1]Unos rashoda P4'!$A$3:$A$501,"=52",'[1]Unos rashoda P4'!$S$3:$S$501,"=38")</f>
        <v>0</v>
      </c>
      <c r="L29" s="56">
        <f>SUMIFS('[1]Unos rashoda i izdataka'!$K$3:$K$501,'[1]Unos rashoda i izdataka'!$C$3:$C$501,"=552",'[1]Unos rashoda i izdataka'!$P$3:$P$501,"=38")+SUMIFS('[1]Unos rashoda P4'!$I$3:$I$501,'[1]Unos rashoda P4'!$A$3:$A$501,"=552",'[1]Unos rashoda P4'!$S$3:$S$501,"=38")</f>
        <v>0</v>
      </c>
      <c r="M29" s="56">
        <f>SUMIFS('[1]Unos rashoda i izdataka'!$K$3:$K$501,'[1]Unos rashoda i izdataka'!$C$3:$C$501,"=559",'[1]Unos rashoda i izdataka'!$P$3:$P$501,"=38")+SUMIFS('[1]Unos rashoda P4'!$I$3:$I$501,'[1]Unos rashoda P4'!$A$3:$A$501,"=559",'[1]Unos rashoda P4'!$S$3:$S$501,"=38")</f>
        <v>0</v>
      </c>
      <c r="N29" s="56">
        <f>SUMIFS('[1]Unos rashoda i izdataka'!$K$3:$K$501,'[1]Unos rashoda i izdataka'!$C$3:$C$501,"=561",'[1]Unos rashoda i izdataka'!$P$3:$P$501,"=38")+SUMIFS('[1]Unos rashoda P4'!$I$3:$I$501,'[1]Unos rashoda P4'!$A$3:$A$501,"=561",'[1]Unos rashoda P4'!$S$3:$S$501,"=38")</f>
        <v>0</v>
      </c>
      <c r="O29" s="56">
        <f>SUMIFS('[1]Unos rashoda i izdataka'!$K$3:$K$501,'[1]Unos rashoda i izdataka'!$C$3:$C$501,"=563",'[1]Unos rashoda i izdataka'!$P$3:$P$501,"=38")+SUMIFS('[1]Unos rashoda P4'!$I$3:$I$501,'[1]Unos rashoda P4'!$A$3:$A$501,"=563",'[1]Unos rashoda P4'!$S$3:$S$501,"=38")</f>
        <v>0</v>
      </c>
      <c r="P29" s="56">
        <f>SUMIFS('[1]Unos rashoda i izdataka'!$K$3:$K$501,'[1]Unos rashoda i izdataka'!$C$3:$C$501,"=573",'[1]Unos rashoda i izdataka'!$P$3:$P$501,"=38")+SUMIFS('[1]Unos rashoda P4'!$I$3:$I$501,'[1]Unos rashoda P4'!$A$3:$A$501,"=573",'[1]Unos rashoda P4'!$S$3:$S$501,"=38")</f>
        <v>0</v>
      </c>
      <c r="Q29" s="56">
        <f>SUMIFS('[1]Unos rashoda i izdataka'!$K$3:$K$501,'[1]Unos rashoda i izdataka'!$C$3:$C$501,"=575",'[1]Unos rashoda i izdataka'!$P$3:$P$501,"=38")+SUMIFS('[1]Unos rashoda P4'!$I$3:$I$501,'[1]Unos rashoda P4'!$A$3:$A$501,"=575",'[1]Unos rashoda P4'!$S$3:$S$501,"=38")</f>
        <v>0</v>
      </c>
      <c r="R29" s="56">
        <f>SUMIFS('[1]Unos rashoda i izdataka'!$K$3:$K$501,'[1]Unos rashoda i izdataka'!$Q$3:$Q$501,"=576",'[1]Unos rashoda i izdataka'!$P$3:$P$501,"=38")+SUMIFS('[1]Unos rashoda P4'!$I$3:$I$501,'[1]Unos rashoda P4'!$A$3:$A$501,"=576",'[1]Unos rashoda P4'!$S$3:$S$501,"=38")</f>
        <v>0</v>
      </c>
      <c r="S29" s="56">
        <f>SUMIFS('[1]Unos rashoda i izdataka'!$K$3:$K$501,'[1]Unos rashoda i izdataka'!$C$3:$C$501,"=581",'[1]Unos rashoda i izdataka'!$P$3:$P$501,"=38")+SUMIFS('[1]Unos rashoda P4'!$I$3:$I$501,'[1]Unos rashoda P4'!$A$3:$A$501,"=581",'[1]Unos rashoda P4'!$S$3:$S$501,"=38")</f>
        <v>0</v>
      </c>
      <c r="T29" s="56">
        <f>SUMIFS('[1]Unos rashoda i izdataka'!$K$3:$K$501,'[1]Unos rashoda i izdataka'!$C$3:$C$501,"=61",'[1]Unos rashoda i izdataka'!$P$3:$P$501,"=38")+SUMIFS('[1]Unos rashoda P4'!$I$3:$I$501,'[1]Unos rashoda P4'!$A$3:$A$501,"=61",'[1]Unos rashoda P4'!$S$3:$S$501,"=38")</f>
        <v>0</v>
      </c>
      <c r="U29" s="56">
        <f>SUMIFS('[1]Unos rashoda i izdataka'!$K$3:$K$501,'[1]Unos rashoda i izdataka'!$C$3:$C$501,"=63",'[1]Unos rashoda i izdataka'!$P$3:$P$501,"=38")+SUMIFS('[1]Unos rashoda P4'!$I$3:$I$501,'[1]Unos rashoda P4'!$A$3:$A$501,"=63",'[1]Unos rashoda P4'!$S$3:$S$501,"=38")</f>
        <v>0</v>
      </c>
      <c r="V29" s="56">
        <f>SUMIFS('[1]Unos rashoda i izdataka'!$K$3:$K$501,'[1]Unos rashoda i izdataka'!$C$3:$C$501,"=71",'[1]Unos rashoda i izdataka'!$P$3:$P$501,"=38")+SUMIFS('[1]Unos rashoda P4'!$I$3:$I$501,'[1]Unos rashoda P4'!$A$3:$A$501,"=71",'[1]Unos rashoda P4'!$S$3:$S$501,"=38")</f>
        <v>0</v>
      </c>
      <c r="W29" s="56">
        <f>SUMIFS('[1]Unos rashoda i izdataka'!$K$3:$K$501,'[1]Unos rashoda i izdataka'!$C$3:$C$501,"=81",'[1]Unos rashoda i izdataka'!$P$3:$P$501,"=38")+SUMIFS('[1]Unos rashoda P4'!$I$3:$I$501,'[1]Unos rashoda P4'!$A$3:$A$501,"=81",'[1]Unos rashoda P4'!$S$3:$S$501,"=38")</f>
        <v>0</v>
      </c>
    </row>
    <row r="30" spans="1:23" x14ac:dyDescent="0.25">
      <c r="A30" s="47">
        <v>2024</v>
      </c>
      <c r="B30" s="61">
        <v>4</v>
      </c>
      <c r="C30" s="62" t="s">
        <v>141</v>
      </c>
      <c r="D30" s="63">
        <f t="shared" si="10"/>
        <v>437741</v>
      </c>
      <c r="E30" s="64">
        <f t="shared" ref="E30:G30" si="13">SUM(E31:E35)</f>
        <v>55333</v>
      </c>
      <c r="F30" s="64">
        <f t="shared" si="13"/>
        <v>0</v>
      </c>
      <c r="G30" s="64">
        <f t="shared" si="13"/>
        <v>0</v>
      </c>
      <c r="H30" s="64">
        <f>SUM(H31:H35)</f>
        <v>0</v>
      </c>
      <c r="I30" s="64">
        <f t="shared" ref="I30:K30" si="14">SUM(I31:I35)</f>
        <v>361636</v>
      </c>
      <c r="J30" s="64">
        <f t="shared" si="14"/>
        <v>5100</v>
      </c>
      <c r="K30" s="64">
        <f t="shared" si="14"/>
        <v>15672</v>
      </c>
      <c r="L30" s="64">
        <f>SUM(L31:L35)</f>
        <v>0</v>
      </c>
      <c r="M30" s="64">
        <f t="shared" ref="M30:O30" si="15">SUM(M31:M35)</f>
        <v>0</v>
      </c>
      <c r="N30" s="64">
        <f t="shared" si="15"/>
        <v>0</v>
      </c>
      <c r="O30" s="64">
        <f t="shared" si="15"/>
        <v>0</v>
      </c>
      <c r="P30" s="64">
        <f>SUM(P31:P35)</f>
        <v>0</v>
      </c>
      <c r="Q30" s="64">
        <f>SUM(Q31:Q35)</f>
        <v>0</v>
      </c>
      <c r="R30" s="64">
        <f>SUM(R31:R35)</f>
        <v>0</v>
      </c>
      <c r="S30" s="64">
        <f>SUM(S31:S35)</f>
        <v>0</v>
      </c>
      <c r="T30" s="64">
        <f t="shared" ref="T30:W30" si="16">SUM(T31:T35)</f>
        <v>0</v>
      </c>
      <c r="U30" s="64">
        <f t="shared" si="16"/>
        <v>0</v>
      </c>
      <c r="V30" s="64">
        <f t="shared" si="16"/>
        <v>0</v>
      </c>
      <c r="W30" s="64">
        <f t="shared" si="16"/>
        <v>0</v>
      </c>
    </row>
    <row r="31" spans="1:23" ht="25.5" x14ac:dyDescent="0.25">
      <c r="A31" s="47">
        <v>2024</v>
      </c>
      <c r="B31" s="53">
        <v>41</v>
      </c>
      <c r="C31" s="54" t="s">
        <v>142</v>
      </c>
      <c r="D31" s="59">
        <f t="shared" si="10"/>
        <v>44607</v>
      </c>
      <c r="E31" s="56">
        <v>32871</v>
      </c>
      <c r="F31" s="56">
        <f>SUMIFS('[1]Unos rashoda i izdataka'!$K$3:$K$501,'[1]Unos rashoda i izdataka'!$C$3:$C$501,"=12",'[1]Unos rashoda i izdataka'!$P$3:$P$501,"=41")+SUMIFS('[1]Unos rashoda P4'!$I$3:$I$501,'[1]Unos rashoda P4'!$A$3:$A$501,"=12",'[1]Unos rashoda P4'!$S$3:$S$501,"=41")</f>
        <v>0</v>
      </c>
      <c r="G31" s="56">
        <f>SUMIFS('[1]Unos rashoda i izdataka'!$K$3:$K$501,'[1]Unos rashoda i izdataka'!$C$3:$C$501,"=31",'[1]Unos rashoda i izdataka'!$P$3:$P$501,"=41")+SUMIFS('[1]Unos rashoda P4'!$I$3:$I$501,'[1]Unos rashoda P4'!$A$3:$A$501,"=31",'[1]Unos rashoda P4'!$S$3:$S$501,"=41")</f>
        <v>0</v>
      </c>
      <c r="H31" s="56">
        <f>SUMIFS('[1]Unos rashoda i izdataka'!$K$3:$K$501,'[1]Unos rashoda i izdataka'!$C$3:$C$501,"=41",'[1]Unos rashoda i izdataka'!$P$3:$P$501,"=41")+SUMIFS('[1]Unos rashoda P4'!$I$3:$I$501,'[1]Unos rashoda P4'!$A$3:$A$501,"=41",'[1]Unos rashoda P4'!$S$3:$S$501,"=41")</f>
        <v>0</v>
      </c>
      <c r="I31" s="56">
        <f>SUMIFS('[1]Unos rashoda i izdataka'!$K$3:$K$501,'[1]Unos rashoda i izdataka'!$C$3:$C$501,"=43",'[1]Unos rashoda i izdataka'!$P$3:$P$501,"=41")+SUMIFS('[1]Unos rashoda P4'!$I$3:$I$501,'[1]Unos rashoda P4'!$A$3:$A$501,"=43",'[1]Unos rashoda P4'!$S$3:$S$501,"=41")</f>
        <v>6636</v>
      </c>
      <c r="J31" s="56">
        <v>5100</v>
      </c>
      <c r="K31" s="56"/>
      <c r="L31" s="56">
        <f>SUMIFS('[1]Unos rashoda i izdataka'!$K$3:$K$501,'[1]Unos rashoda i izdataka'!$C$3:$C$501,"=552",'[1]Unos rashoda i izdataka'!$P$3:$P$501,"=41")+SUMIFS('[1]Unos rashoda P4'!$I$3:$I$501,'[1]Unos rashoda P4'!$A$3:$A$501,"=552",'[1]Unos rashoda P4'!$S$3:$S$501,"=41")</f>
        <v>0</v>
      </c>
      <c r="M31" s="56">
        <f>SUMIFS('[1]Unos rashoda i izdataka'!$K$3:$K$501,'[1]Unos rashoda i izdataka'!$C$3:$C$501,"=559",'[1]Unos rashoda i izdataka'!$P$3:$P$501,"=41")+SUMIFS('[1]Unos rashoda P4'!$I$3:$I$501,'[1]Unos rashoda P4'!$A$3:$A$501,"=559",'[1]Unos rashoda P4'!$S$3:$S$501,"=41")</f>
        <v>0</v>
      </c>
      <c r="N31" s="56">
        <f>SUMIFS('[1]Unos rashoda i izdataka'!$K$3:$K$501,'[1]Unos rashoda i izdataka'!$C$3:$C$501,"=561",'[1]Unos rashoda i izdataka'!$P$3:$P$501,"=41")+SUMIFS('[1]Unos rashoda P4'!$I$3:$I$501,'[1]Unos rashoda P4'!$A$3:$A$501,"=561",'[1]Unos rashoda P4'!$S$3:$S$501,"=41")</f>
        <v>0</v>
      </c>
      <c r="O31" s="56">
        <f>SUMIFS('[1]Unos rashoda i izdataka'!$K$3:$K$501,'[1]Unos rashoda i izdataka'!$C$3:$C$501,"=563",'[1]Unos rashoda i izdataka'!$P$3:$P$501,"=41")+SUMIFS('[1]Unos rashoda P4'!$I$3:$I$501,'[1]Unos rashoda P4'!$A$3:$A$501,"=563",'[1]Unos rashoda P4'!$S$3:$S$501,"=41")</f>
        <v>0</v>
      </c>
      <c r="P31" s="56">
        <f>SUMIFS('[1]Unos rashoda i izdataka'!$K$3:$K$501,'[1]Unos rashoda i izdataka'!$C$3:$C$501,"=573",'[1]Unos rashoda i izdataka'!$P$3:$P$501,"=41")+SUMIFS('[1]Unos rashoda P4'!$I$3:$I$501,'[1]Unos rashoda P4'!$A$3:$A$501,"=573",'[1]Unos rashoda P4'!$S$3:$S$501,"=41")</f>
        <v>0</v>
      </c>
      <c r="Q31" s="56">
        <f>SUMIFS('[1]Unos rashoda i izdataka'!$K$3:$K$501,'[1]Unos rashoda i izdataka'!$C$3:$C$501,"=575",'[1]Unos rashoda i izdataka'!$P$3:$P$501,"=41")+SUMIFS('[1]Unos rashoda P4'!$I$3:$I$501,'[1]Unos rashoda P4'!$A$3:$A$501,"=575",'[1]Unos rashoda P4'!$S$3:$S$501,"=41")</f>
        <v>0</v>
      </c>
      <c r="R31" s="56">
        <f>SUMIFS('[1]Unos rashoda i izdataka'!$K$3:$K$501,'[1]Unos rashoda i izdataka'!$Q$3:$Q$501,"=576",'[1]Unos rashoda i izdataka'!$P$3:$P$501,"=41")+SUMIFS('[1]Unos rashoda P4'!$I$3:$I$501,'[1]Unos rashoda P4'!$A$3:$A$501,"=576",'[1]Unos rashoda P4'!$S$3:$S$501,"=41")</f>
        <v>0</v>
      </c>
      <c r="S31" s="56">
        <f>SUMIFS('[1]Unos rashoda i izdataka'!$K$3:$K$501,'[1]Unos rashoda i izdataka'!$C$3:$C$501,"=581",'[1]Unos rashoda i izdataka'!$P$3:$P$501,"=41")+SUMIFS('[1]Unos rashoda P4'!$I$3:$I$501,'[1]Unos rashoda P4'!$A$3:$A$501,"=581",'[1]Unos rashoda P4'!$S$3:$S$501,"=41")</f>
        <v>0</v>
      </c>
      <c r="T31" s="56"/>
      <c r="U31" s="56">
        <f>SUMIFS('[1]Unos rashoda i izdataka'!$K$3:$K$501,'[1]Unos rashoda i izdataka'!$C$3:$C$501,"=63",'[1]Unos rashoda i izdataka'!$P$3:$P$501,"=41")+SUMIFS('[1]Unos rashoda P4'!$I$3:$I$501,'[1]Unos rashoda P4'!$A$3:$A$501,"=63",'[1]Unos rashoda P4'!$S$3:$S$501,"=41")</f>
        <v>0</v>
      </c>
      <c r="V31" s="56">
        <f>SUMIFS('[1]Unos rashoda i izdataka'!$K$3:$K$501,'[1]Unos rashoda i izdataka'!$C$3:$C$501,"=71",'[1]Unos rashoda i izdataka'!$P$3:$P$501,"=41")+SUMIFS('[1]Unos rashoda P4'!$I$3:$I$501,'[1]Unos rashoda P4'!$A$3:$A$501,"=71",'[1]Unos rashoda P4'!$S$3:$S$501,"=41")</f>
        <v>0</v>
      </c>
      <c r="W31" s="56">
        <f>SUMIFS('[1]Unos rashoda i izdataka'!$K$3:$K$501,'[1]Unos rashoda i izdataka'!$C$3:$C$501,"=81",'[1]Unos rashoda i izdataka'!$P$3:$P$501,"=41")+SUMIFS('[1]Unos rashoda P4'!$I$3:$I$501,'[1]Unos rashoda P4'!$A$3:$A$501,"=81",'[1]Unos rashoda P4'!$S$3:$S$501,"=41")</f>
        <v>0</v>
      </c>
    </row>
    <row r="32" spans="1:23" x14ac:dyDescent="0.25">
      <c r="A32" s="47">
        <v>2024</v>
      </c>
      <c r="B32" s="57">
        <v>42</v>
      </c>
      <c r="C32" s="58" t="s">
        <v>143</v>
      </c>
      <c r="D32" s="59">
        <f t="shared" si="10"/>
        <v>107780</v>
      </c>
      <c r="E32" s="56">
        <v>22462</v>
      </c>
      <c r="F32" s="56">
        <f>SUMIFS('[1]Unos rashoda i izdataka'!$K$3:$K$501,'[1]Unos rashoda i izdataka'!$C$3:$C$501,"=12",'[1]Unos rashoda i izdataka'!$P$3:$P$501,"=42")+SUMIFS('[1]Unos rashoda P4'!$I$3:$I$501,'[1]Unos rashoda P4'!$A$3:$A$501,"=12",'[1]Unos rashoda P4'!$S$3:$S$501,"=42")</f>
        <v>0</v>
      </c>
      <c r="G32" s="56">
        <f>SUMIFS('[1]Unos rashoda i izdataka'!$K$3:$K$501,'[1]Unos rashoda i izdataka'!$C$3:$C$501,"=31",'[1]Unos rashoda i izdataka'!$P$3:$P$501,"=42")+SUMIFS('[1]Unos rashoda P4'!$I$3:$I$501,'[1]Unos rashoda P4'!$A$3:$A$501,"=31",'[1]Unos rashoda P4'!$S$3:$S$501,"=42")</f>
        <v>0</v>
      </c>
      <c r="H32" s="56">
        <f>SUMIFS('[1]Unos rashoda i izdataka'!$K$3:$K$501,'[1]Unos rashoda i izdataka'!$C$3:$C$501,"=41",'[1]Unos rashoda i izdataka'!$P$3:$P$501,"=42")+SUMIFS('[1]Unos rashoda P4'!$I$3:$I$501,'[1]Unos rashoda P4'!$A$3:$A$501,"=41",'[1]Unos rashoda P4'!$S$3:$S$501,"=42")</f>
        <v>0</v>
      </c>
      <c r="I32" s="56">
        <f>SUMIFS('[1]Unos rashoda i izdataka'!$K$3:$K$501,'[1]Unos rashoda i izdataka'!$C$3:$C$501,"=43",'[1]Unos rashoda i izdataka'!$P$3:$P$501,"=42")+SUMIFS('[1]Unos rashoda P4'!$I$3:$I$501,'[1]Unos rashoda P4'!$A$3:$A$501,"=43",'[1]Unos rashoda P4'!$S$3:$S$501,"=42")</f>
        <v>69646</v>
      </c>
      <c r="J32" s="56">
        <f>SUMIFS('[1]Unos rashoda i izdataka'!$K$3:$K$501,'[1]Unos rashoda i izdataka'!$C$3:$C$501,"=51",'[1]Unos rashoda i izdataka'!$P$3:$P$501,"=42")+SUMIFS('[1]Unos rashoda P4'!$I$3:$I$501,'[1]Unos rashoda P4'!$A$3:$A$501,"=51",'[1]Unos rashoda P4'!$S$3:$S$501,"=42")</f>
        <v>0</v>
      </c>
      <c r="K32" s="56">
        <f>SUMIFS('[1]Unos rashoda i izdataka'!$K$3:$K$501,'[1]Unos rashoda i izdataka'!$C$3:$C$501,"=52",'[1]Unos rashoda i izdataka'!$P$3:$P$501,"=42")+SUMIFS('[1]Unos rashoda P4'!$I$3:$I$501,'[1]Unos rashoda P4'!$A$3:$A$501,"=52",'[1]Unos rashoda P4'!$S$3:$S$501,"=42")</f>
        <v>15672</v>
      </c>
      <c r="L32" s="56">
        <f>SUMIFS('[1]Unos rashoda i izdataka'!$K$3:$K$501,'[1]Unos rashoda i izdataka'!$C$3:$C$501,"=552",'[1]Unos rashoda i izdataka'!$P$3:$P$501,"=42")+SUMIFS('[1]Unos rashoda P4'!$I$3:$I$501,'[1]Unos rashoda P4'!$A$3:$A$501,"=552",'[1]Unos rashoda P4'!$S$3:$S$501,"=42")</f>
        <v>0</v>
      </c>
      <c r="M32" s="56">
        <f>SUMIFS('[1]Unos rashoda i izdataka'!$K$3:$K$501,'[1]Unos rashoda i izdataka'!$C$3:$C$501,"=559",'[1]Unos rashoda i izdataka'!$P$3:$P$501,"=42")+SUMIFS('[1]Unos rashoda P4'!$I$3:$I$501,'[1]Unos rashoda P4'!$A$3:$A$501,"=559",'[1]Unos rashoda P4'!$S$3:$S$501,"=42")</f>
        <v>0</v>
      </c>
      <c r="N32" s="56">
        <f>SUMIFS('[1]Unos rashoda i izdataka'!$K$3:$K$501,'[1]Unos rashoda i izdataka'!$C$3:$C$501,"=561",'[1]Unos rashoda i izdataka'!$P$3:$P$501,"=42")+SUMIFS('[1]Unos rashoda P4'!$I$3:$I$501,'[1]Unos rashoda P4'!$A$3:$A$501,"=561",'[1]Unos rashoda P4'!$S$3:$S$501,"=42")</f>
        <v>0</v>
      </c>
      <c r="O32" s="56">
        <f>SUMIFS('[1]Unos rashoda i izdataka'!$K$3:$K$501,'[1]Unos rashoda i izdataka'!$C$3:$C$501,"=563",'[1]Unos rashoda i izdataka'!$P$3:$P$501,"=42")+SUMIFS('[1]Unos rashoda P4'!$I$3:$I$501,'[1]Unos rashoda P4'!$A$3:$A$501,"=563",'[1]Unos rashoda P4'!$S$3:$S$501,"=42")</f>
        <v>0</v>
      </c>
      <c r="P32" s="56">
        <f>SUMIFS('[1]Unos rashoda i izdataka'!$K$3:$K$501,'[1]Unos rashoda i izdataka'!$C$3:$C$501,"=573",'[1]Unos rashoda i izdataka'!$P$3:$P$501,"=42")+SUMIFS('[1]Unos rashoda P4'!$I$3:$I$501,'[1]Unos rashoda P4'!$A$3:$A$501,"=573",'[1]Unos rashoda P4'!$S$3:$S$501,"=42")</f>
        <v>0</v>
      </c>
      <c r="Q32" s="56">
        <f>SUMIFS('[1]Unos rashoda i izdataka'!$K$3:$K$501,'[1]Unos rashoda i izdataka'!$C$3:$C$501,"=575",'[1]Unos rashoda i izdataka'!$P$3:$P$501,"=42")+SUMIFS('[1]Unos rashoda P4'!$I$3:$I$501,'[1]Unos rashoda P4'!$A$3:$A$501,"=575",'[1]Unos rashoda P4'!$S$3:$S$501,"=42")</f>
        <v>0</v>
      </c>
      <c r="R32" s="56">
        <f>SUMIFS('[1]Unos rashoda i izdataka'!$K$3:$K$501,'[1]Unos rashoda i izdataka'!$Q$3:$Q$501,"=576",'[1]Unos rashoda i izdataka'!$P$3:$P$501,"=42")+SUMIFS('[1]Unos rashoda P4'!$I$3:$I$501,'[1]Unos rashoda P4'!$A$3:$A$501,"=576",'[1]Unos rashoda P4'!$S$3:$S$501,"=42")</f>
        <v>0</v>
      </c>
      <c r="S32" s="56">
        <f>SUMIFS('[1]Unos rashoda i izdataka'!$K$3:$K$501,'[1]Unos rashoda i izdataka'!$C$3:$C$501,"=581",'[1]Unos rashoda i izdataka'!$P$3:$P$501,"=42")+SUMIFS('[1]Unos rashoda P4'!$I$3:$I$501,'[1]Unos rashoda P4'!$A$3:$A$501,"=581",'[1]Unos rashoda P4'!$S$3:$S$501,"=42")</f>
        <v>0</v>
      </c>
      <c r="T32" s="56">
        <f>SUMIFS('[1]Unos rashoda i izdataka'!$K$3:$K$501,'[1]Unos rashoda i izdataka'!$C$3:$C$501,"=61",'[1]Unos rashoda i izdataka'!$P$3:$P$501,"=42")+SUMIFS('[1]Unos rashoda P4'!$I$3:$I$501,'[1]Unos rashoda P4'!$A$3:$A$501,"=61",'[1]Unos rashoda P4'!$S$3:$S$501,"=42")</f>
        <v>0</v>
      </c>
      <c r="U32" s="56">
        <f>SUMIFS('[1]Unos rashoda i izdataka'!$K$3:$K$501,'[1]Unos rashoda i izdataka'!$C$3:$C$501,"=63",'[1]Unos rashoda i izdataka'!$P$3:$P$501,"=42")+SUMIFS('[1]Unos rashoda P4'!$I$3:$I$501,'[1]Unos rashoda P4'!$A$3:$A$501,"=63",'[1]Unos rashoda P4'!$S$3:$S$501,"=42")</f>
        <v>0</v>
      </c>
      <c r="V32" s="56">
        <f>SUMIFS('[1]Unos rashoda i izdataka'!$K$3:$K$501,'[1]Unos rashoda i izdataka'!$C$3:$C$501,"=71",'[1]Unos rashoda i izdataka'!$P$3:$P$501,"=42")+SUMIFS('[1]Unos rashoda P4'!$I$3:$I$501,'[1]Unos rashoda P4'!$A$3:$A$501,"=71",'[1]Unos rashoda P4'!$S$3:$S$501,"=42")</f>
        <v>0</v>
      </c>
      <c r="W32" s="56">
        <f>SUMIFS('[1]Unos rashoda i izdataka'!$K$3:$K$501,'[1]Unos rashoda i izdataka'!$C$3:$C$501,"=81",'[1]Unos rashoda i izdataka'!$P$3:$P$501,"=42")+SUMIFS('[1]Unos rashoda P4'!$I$3:$I$501,'[1]Unos rashoda P4'!$A$3:$A$501,"=81",'[1]Unos rashoda P4'!$S$3:$S$501,"=42")</f>
        <v>0</v>
      </c>
    </row>
    <row r="33" spans="1:23" x14ac:dyDescent="0.25">
      <c r="A33" s="47">
        <v>2024</v>
      </c>
      <c r="B33" s="53">
        <v>43</v>
      </c>
      <c r="C33" s="54" t="s">
        <v>144</v>
      </c>
      <c r="D33" s="59">
        <f t="shared" si="10"/>
        <v>0</v>
      </c>
      <c r="E33" s="56">
        <f>SUMIFS('[1]Unos rashoda i izdataka'!$K$3:$K$501,'[1]Unos rashoda i izdataka'!$C$3:$C$501,"=11",'[1]Unos rashoda i izdataka'!$P$3:$P$501,"=43")+SUMIFS('[1]Unos rashoda P4'!$I$3:$I$501,'[1]Unos rashoda P4'!$A$3:$A$501,"=11",'[1]Unos rashoda P4'!$S$3:$S$501,"=43")</f>
        <v>0</v>
      </c>
      <c r="F33" s="56">
        <f>SUMIFS('[1]Unos rashoda i izdataka'!$K$3:$K$501,'[1]Unos rashoda i izdataka'!$C$3:$C$501,"=12",'[1]Unos rashoda i izdataka'!$P$3:$P$501,"=43")+SUMIFS('[1]Unos rashoda P4'!$I$3:$I$501,'[1]Unos rashoda P4'!$A$3:$A$501,"=12",'[1]Unos rashoda P4'!$S$3:$S$501,"=43")</f>
        <v>0</v>
      </c>
      <c r="G33" s="56">
        <f>SUMIFS('[1]Unos rashoda i izdataka'!$K$3:$K$501,'[1]Unos rashoda i izdataka'!$C$3:$C$501,"=31",'[1]Unos rashoda i izdataka'!$P$3:$P$501,"=43")+SUMIFS('[1]Unos rashoda P4'!$I$3:$I$501,'[1]Unos rashoda P4'!$A$3:$A$501,"=31",'[1]Unos rashoda P4'!$S$3:$S$501,"=43")</f>
        <v>0</v>
      </c>
      <c r="H33" s="56">
        <f>SUMIFS('[1]Unos rashoda i izdataka'!$K$3:$K$501,'[1]Unos rashoda i izdataka'!$C$3:$C$501,"=41",'[1]Unos rashoda i izdataka'!$P$3:$P$501,"=43")+SUMIFS('[1]Unos rashoda P4'!$I$3:$I$501,'[1]Unos rashoda P4'!$A$3:$A$501,"=41",'[1]Unos rashoda P4'!$S$3:$S$501,"=43")</f>
        <v>0</v>
      </c>
      <c r="I33" s="56">
        <f>SUMIFS('[1]Unos rashoda i izdataka'!$K$3:$K$501,'[1]Unos rashoda i izdataka'!$C$3:$C$501,"=43",'[1]Unos rashoda i izdataka'!$P$3:$P$501,"=43")+SUMIFS('[1]Unos rashoda P4'!$I$3:$I$501,'[1]Unos rashoda P4'!$A$3:$A$501,"=43",'[1]Unos rashoda P4'!$S$3:$S$501,"=43")</f>
        <v>0</v>
      </c>
      <c r="J33" s="56">
        <f>SUMIFS('[1]Unos rashoda i izdataka'!$K$3:$K$501,'[1]Unos rashoda i izdataka'!$C$3:$C$501,"=51",'[1]Unos rashoda i izdataka'!$P$3:$P$501,"=43")+SUMIFS('[1]Unos rashoda P4'!$I$3:$I$501,'[1]Unos rashoda P4'!$A$3:$A$501,"=51",'[1]Unos rashoda P4'!$S$3:$S$501,"=43")</f>
        <v>0</v>
      </c>
      <c r="K33" s="56">
        <f>SUMIFS('[1]Unos rashoda i izdataka'!$K$3:$K$501,'[1]Unos rashoda i izdataka'!$C$3:$C$501,"=52",'[1]Unos rashoda i izdataka'!$P$3:$P$501,"=43")+SUMIFS('[1]Unos rashoda P4'!$I$3:$I$501,'[1]Unos rashoda P4'!$A$3:$A$501,"=52",'[1]Unos rashoda P4'!$S$3:$S$501,"=43")</f>
        <v>0</v>
      </c>
      <c r="L33" s="56">
        <f>SUMIFS('[1]Unos rashoda i izdataka'!$K$3:$K$501,'[1]Unos rashoda i izdataka'!$C$3:$C$501,"=552",'[1]Unos rashoda i izdataka'!$P$3:$P$501,"=43")+SUMIFS('[1]Unos rashoda P4'!$I$3:$I$501,'[1]Unos rashoda P4'!$A$3:$A$501,"=552",'[1]Unos rashoda P4'!$S$3:$S$501,"=43")</f>
        <v>0</v>
      </c>
      <c r="M33" s="56">
        <f>SUMIFS('[1]Unos rashoda i izdataka'!$K$3:$K$501,'[1]Unos rashoda i izdataka'!$C$3:$C$501,"=559",'[1]Unos rashoda i izdataka'!$P$3:$P$501,"=43")+SUMIFS('[1]Unos rashoda P4'!$I$3:$I$501,'[1]Unos rashoda P4'!$A$3:$A$501,"=559",'[1]Unos rashoda P4'!$S$3:$S$501,"=43")</f>
        <v>0</v>
      </c>
      <c r="N33" s="56">
        <f>SUMIFS('[1]Unos rashoda i izdataka'!$K$3:$K$501,'[1]Unos rashoda i izdataka'!$C$3:$C$501,"=561",'[1]Unos rashoda i izdataka'!$P$3:$P$501,"=43")+SUMIFS('[1]Unos rashoda P4'!$I$3:$I$501,'[1]Unos rashoda P4'!$A$3:$A$501,"=561",'[1]Unos rashoda P4'!$S$3:$S$501,"=43")</f>
        <v>0</v>
      </c>
      <c r="O33" s="56">
        <f>SUMIFS('[1]Unos rashoda i izdataka'!$K$3:$K$501,'[1]Unos rashoda i izdataka'!$C$3:$C$501,"=563",'[1]Unos rashoda i izdataka'!$P$3:$P$501,"=43")+SUMIFS('[1]Unos rashoda P4'!$I$3:$I$501,'[1]Unos rashoda P4'!$A$3:$A$501,"=563",'[1]Unos rashoda P4'!$S$3:$S$501,"=43")</f>
        <v>0</v>
      </c>
      <c r="P33" s="56">
        <f>SUMIFS('[1]Unos rashoda i izdataka'!$K$3:$K$501,'[1]Unos rashoda i izdataka'!$C$3:$C$501,"=573",'[1]Unos rashoda i izdataka'!$P$3:$P$501,"=43")+SUMIFS('[1]Unos rashoda P4'!$I$3:$I$501,'[1]Unos rashoda P4'!$A$3:$A$501,"=573",'[1]Unos rashoda P4'!$S$3:$S$501,"=43")</f>
        <v>0</v>
      </c>
      <c r="Q33" s="56">
        <f>SUMIFS('[1]Unos rashoda i izdataka'!$K$3:$K$501,'[1]Unos rashoda i izdataka'!$C$3:$C$501,"=575",'[1]Unos rashoda i izdataka'!$P$3:$P$501,"=43")+SUMIFS('[1]Unos rashoda P4'!$I$3:$I$501,'[1]Unos rashoda P4'!$A$3:$A$501,"=575",'[1]Unos rashoda P4'!$S$3:$S$501,"=43")</f>
        <v>0</v>
      </c>
      <c r="R33" s="56">
        <f>SUMIFS('[1]Unos rashoda i izdataka'!$K$3:$K$501,'[1]Unos rashoda i izdataka'!$Q$3:$Q$501,"=576",'[1]Unos rashoda i izdataka'!$P$3:$P$501,"=43")+SUMIFS('[1]Unos rashoda P4'!$I$3:$I$501,'[1]Unos rashoda P4'!$A$3:$A$501,"=576",'[1]Unos rashoda P4'!$S$3:$S$501,"=43")</f>
        <v>0</v>
      </c>
      <c r="S33" s="56">
        <f>SUMIFS('[1]Unos rashoda i izdataka'!$K$3:$K$501,'[1]Unos rashoda i izdataka'!$C$3:$C$501,"=581",'[1]Unos rashoda i izdataka'!$P$3:$P$501,"=43")+SUMIFS('[1]Unos rashoda P4'!$I$3:$I$501,'[1]Unos rashoda P4'!$A$3:$A$501,"=581",'[1]Unos rashoda P4'!$S$3:$S$501,"=43")</f>
        <v>0</v>
      </c>
      <c r="T33" s="56">
        <f>SUMIFS('[1]Unos rashoda i izdataka'!$K$3:$K$501,'[1]Unos rashoda i izdataka'!$C$3:$C$501,"=61",'[1]Unos rashoda i izdataka'!$P$3:$P$501,"=43")+SUMIFS('[1]Unos rashoda P4'!$I$3:$I$501,'[1]Unos rashoda P4'!$A$3:$A$501,"=61",'[1]Unos rashoda P4'!$S$3:$S$501,"=43")</f>
        <v>0</v>
      </c>
      <c r="U33" s="56">
        <f>SUMIFS('[1]Unos rashoda i izdataka'!$K$3:$K$501,'[1]Unos rashoda i izdataka'!$C$3:$C$501,"=63",'[1]Unos rashoda i izdataka'!$P$3:$P$501,"=43")+SUMIFS('[1]Unos rashoda P4'!$I$3:$I$501,'[1]Unos rashoda P4'!$A$3:$A$501,"=63",'[1]Unos rashoda P4'!$S$3:$S$501,"=43")</f>
        <v>0</v>
      </c>
      <c r="V33" s="56">
        <f>SUMIFS('[1]Unos rashoda i izdataka'!$K$3:$K$501,'[1]Unos rashoda i izdataka'!$C$3:$C$501,"=71",'[1]Unos rashoda i izdataka'!$P$3:$P$501,"=43")+SUMIFS('[1]Unos rashoda P4'!$I$3:$I$501,'[1]Unos rashoda P4'!$A$3:$A$501,"=71",'[1]Unos rashoda P4'!$S$3:$S$501,"=43")</f>
        <v>0</v>
      </c>
      <c r="W33" s="56">
        <f>SUMIFS('[1]Unos rashoda i izdataka'!$K$3:$K$501,'[1]Unos rashoda i izdataka'!$C$3:$C$501,"=81",'[1]Unos rashoda i izdataka'!$P$3:$P$501,"=43")+SUMIFS('[1]Unos rashoda P4'!$I$3:$I$501,'[1]Unos rashoda P4'!$A$3:$A$501,"=81",'[1]Unos rashoda P4'!$S$3:$S$501,"=43")</f>
        <v>0</v>
      </c>
    </row>
    <row r="34" spans="1:23" ht="25.5" x14ac:dyDescent="0.25">
      <c r="A34" s="47">
        <v>2024</v>
      </c>
      <c r="B34" s="53">
        <v>44</v>
      </c>
      <c r="C34" s="54" t="s">
        <v>145</v>
      </c>
      <c r="D34" s="59">
        <f t="shared" si="10"/>
        <v>0</v>
      </c>
      <c r="E34" s="56">
        <f>SUMIFS('[1]Unos rashoda i izdataka'!$K$3:$K$501,'[1]Unos rashoda i izdataka'!$C$3:$C$501,"=11",'[1]Unos rashoda i izdataka'!$P$3:$P$501,"=44")+SUMIFS('[1]Unos rashoda P4'!$I$3:$I$501,'[1]Unos rashoda P4'!$A$3:$A$501,"=11",'[1]Unos rashoda P4'!$S$3:$S$501,"=44")</f>
        <v>0</v>
      </c>
      <c r="F34" s="56">
        <f>SUMIFS('[1]Unos rashoda i izdataka'!$K$3:$K$501,'[1]Unos rashoda i izdataka'!$C$3:$C$501,"=12",'[1]Unos rashoda i izdataka'!$P$3:$P$501,"=44")+SUMIFS('[1]Unos rashoda P4'!$I$3:$I$501,'[1]Unos rashoda P4'!$A$3:$A$501,"=12",'[1]Unos rashoda P4'!$S$3:$S$501,"=44")</f>
        <v>0</v>
      </c>
      <c r="G34" s="56">
        <f>SUMIFS('[1]Unos rashoda i izdataka'!$K$3:$K$501,'[1]Unos rashoda i izdataka'!$C$3:$C$501,"=31",'[1]Unos rashoda i izdataka'!$P$3:$P$501,"=44")+SUMIFS('[1]Unos rashoda P4'!$I$3:$I$501,'[1]Unos rashoda P4'!$A$3:$A$501,"=31",'[1]Unos rashoda P4'!$S$3:$S$501,"=44")</f>
        <v>0</v>
      </c>
      <c r="H34" s="56">
        <f>SUMIFS('[1]Unos rashoda i izdataka'!$K$3:$K$501,'[1]Unos rashoda i izdataka'!$C$3:$C$501,"=41",'[1]Unos rashoda i izdataka'!$P$3:$P$501,"=44")+SUMIFS('[1]Unos rashoda P4'!$I$3:$I$501,'[1]Unos rashoda P4'!$A$3:$A$501,"=41",'[1]Unos rashoda P4'!$S$3:$S$501,"=44")</f>
        <v>0</v>
      </c>
      <c r="I34" s="56">
        <f>SUMIFS('[1]Unos rashoda i izdataka'!$K$3:$K$501,'[1]Unos rashoda i izdataka'!$C$3:$C$501,"=43",'[1]Unos rashoda i izdataka'!$P$3:$P$501,"=44")+SUMIFS('[1]Unos rashoda P4'!$I$3:$I$501,'[1]Unos rashoda P4'!$A$3:$A$501,"=43",'[1]Unos rashoda P4'!$S$3:$S$501,"=44")</f>
        <v>0</v>
      </c>
      <c r="J34" s="56">
        <f>SUMIFS('[1]Unos rashoda i izdataka'!$K$3:$K$501,'[1]Unos rashoda i izdataka'!$C$3:$C$501,"=51",'[1]Unos rashoda i izdataka'!$P$3:$P$501,"=44")+SUMIFS('[1]Unos rashoda P4'!$I$3:$I$501,'[1]Unos rashoda P4'!$A$3:$A$501,"=51",'[1]Unos rashoda P4'!$S$3:$S$501,"=44")</f>
        <v>0</v>
      </c>
      <c r="K34" s="56">
        <f>SUMIFS('[1]Unos rashoda i izdataka'!$K$3:$K$501,'[1]Unos rashoda i izdataka'!$C$3:$C$501,"=52",'[1]Unos rashoda i izdataka'!$P$3:$P$501,"=44")+SUMIFS('[1]Unos rashoda P4'!$I$3:$I$501,'[1]Unos rashoda P4'!$A$3:$A$501,"=52",'[1]Unos rashoda P4'!$S$3:$S$501,"=44")</f>
        <v>0</v>
      </c>
      <c r="L34" s="56">
        <f>SUMIFS('[1]Unos rashoda i izdataka'!$K$3:$K$501,'[1]Unos rashoda i izdataka'!$C$3:$C$501,"=552",'[1]Unos rashoda i izdataka'!$P$3:$P$501,"=44")+SUMIFS('[1]Unos rashoda P4'!$I$3:$I$501,'[1]Unos rashoda P4'!$A$3:$A$501,"=552",'[1]Unos rashoda P4'!$S$3:$S$501,"=44")</f>
        <v>0</v>
      </c>
      <c r="M34" s="56">
        <f>SUMIFS('[1]Unos rashoda i izdataka'!$K$3:$K$501,'[1]Unos rashoda i izdataka'!$C$3:$C$501,"=559",'[1]Unos rashoda i izdataka'!$P$3:$P$501,"=44")+SUMIFS('[1]Unos rashoda P4'!$I$3:$I$501,'[1]Unos rashoda P4'!$A$3:$A$501,"=559",'[1]Unos rashoda P4'!$S$3:$S$501,"=44")</f>
        <v>0</v>
      </c>
      <c r="N34" s="56">
        <f>SUMIFS('[1]Unos rashoda i izdataka'!$K$3:$K$501,'[1]Unos rashoda i izdataka'!$C$3:$C$501,"=561",'[1]Unos rashoda i izdataka'!$P$3:$P$501,"=44")+SUMIFS('[1]Unos rashoda P4'!$I$3:$I$501,'[1]Unos rashoda P4'!$A$3:$A$501,"=561",'[1]Unos rashoda P4'!$S$3:$S$501,"=44")</f>
        <v>0</v>
      </c>
      <c r="O34" s="56">
        <f>SUMIFS('[1]Unos rashoda i izdataka'!$K$3:$K$501,'[1]Unos rashoda i izdataka'!$C$3:$C$501,"=563",'[1]Unos rashoda i izdataka'!$P$3:$P$501,"=44")+SUMIFS('[1]Unos rashoda P4'!$I$3:$I$501,'[1]Unos rashoda P4'!$A$3:$A$501,"=563",'[1]Unos rashoda P4'!$S$3:$S$501,"=44")</f>
        <v>0</v>
      </c>
      <c r="P34" s="56">
        <f>SUMIFS('[1]Unos rashoda i izdataka'!$K$3:$K$501,'[1]Unos rashoda i izdataka'!$C$3:$C$501,"=573",'[1]Unos rashoda i izdataka'!$P$3:$P$501,"=44")+SUMIFS('[1]Unos rashoda P4'!$I$3:$I$501,'[1]Unos rashoda P4'!$A$3:$A$501,"=573",'[1]Unos rashoda P4'!$S$3:$S$501,"=44")</f>
        <v>0</v>
      </c>
      <c r="Q34" s="56">
        <f>SUMIFS('[1]Unos rashoda i izdataka'!$K$3:$K$501,'[1]Unos rashoda i izdataka'!$C$3:$C$501,"=575",'[1]Unos rashoda i izdataka'!$P$3:$P$501,"=44")+SUMIFS('[1]Unos rashoda P4'!$I$3:$I$501,'[1]Unos rashoda P4'!$A$3:$A$501,"=575",'[1]Unos rashoda P4'!$S$3:$S$501,"=44")</f>
        <v>0</v>
      </c>
      <c r="R34" s="56">
        <f>SUMIFS('[1]Unos rashoda i izdataka'!$K$3:$K$501,'[1]Unos rashoda i izdataka'!$Q$3:$Q$501,"=576",'[1]Unos rashoda i izdataka'!$P$3:$P$501,"=44")+SUMIFS('[1]Unos rashoda P4'!$I$3:$I$501,'[1]Unos rashoda P4'!$A$3:$A$501,"=576",'[1]Unos rashoda P4'!$S$3:$S$501,"=44")</f>
        <v>0</v>
      </c>
      <c r="S34" s="56">
        <f>SUMIFS('[1]Unos rashoda i izdataka'!$K$3:$K$501,'[1]Unos rashoda i izdataka'!$C$3:$C$501,"=581",'[1]Unos rashoda i izdataka'!$P$3:$P$501,"=44")+SUMIFS('[1]Unos rashoda P4'!$I$3:$I$501,'[1]Unos rashoda P4'!$A$3:$A$501,"=581",'[1]Unos rashoda P4'!$S$3:$S$501,"=44")</f>
        <v>0</v>
      </c>
      <c r="T34" s="56">
        <f>SUMIFS('[1]Unos rashoda i izdataka'!$K$3:$K$501,'[1]Unos rashoda i izdataka'!$C$3:$C$501,"=61",'[1]Unos rashoda i izdataka'!$P$3:$P$501,"=44")+SUMIFS('[1]Unos rashoda P4'!$I$3:$I$501,'[1]Unos rashoda P4'!$A$3:$A$501,"=61",'[1]Unos rashoda P4'!$S$3:$S$501,"=44")</f>
        <v>0</v>
      </c>
      <c r="U34" s="56">
        <f>SUMIFS('[1]Unos rashoda i izdataka'!$K$3:$K$501,'[1]Unos rashoda i izdataka'!$C$3:$C$501,"=63",'[1]Unos rashoda i izdataka'!$P$3:$P$501,"=44")+SUMIFS('[1]Unos rashoda P4'!$I$3:$I$501,'[1]Unos rashoda P4'!$A$3:$A$501,"=63",'[1]Unos rashoda P4'!$S$3:$S$501,"=44")</f>
        <v>0</v>
      </c>
      <c r="V34" s="56">
        <f>SUMIFS('[1]Unos rashoda i izdataka'!$K$3:$K$501,'[1]Unos rashoda i izdataka'!$C$3:$C$501,"=71",'[1]Unos rashoda i izdataka'!$P$3:$P$501,"=44")+SUMIFS('[1]Unos rashoda P4'!$I$3:$I$501,'[1]Unos rashoda P4'!$A$3:$A$501,"=71",'[1]Unos rashoda P4'!$S$3:$S$501,"=44")</f>
        <v>0</v>
      </c>
      <c r="W34" s="56">
        <f>SUMIFS('[1]Unos rashoda i izdataka'!$K$3:$K$501,'[1]Unos rashoda i izdataka'!$C$3:$C$501,"=81",'[1]Unos rashoda i izdataka'!$P$3:$P$501,"=44")+SUMIFS('[1]Unos rashoda P4'!$I$3:$I$501,'[1]Unos rashoda P4'!$A$3:$A$501,"=81",'[1]Unos rashoda P4'!$S$3:$S$501,"=44")</f>
        <v>0</v>
      </c>
    </row>
    <row r="35" spans="1:23" x14ac:dyDescent="0.25">
      <c r="A35" s="47">
        <v>2024</v>
      </c>
      <c r="B35" s="57">
        <v>45</v>
      </c>
      <c r="C35" s="58" t="s">
        <v>146</v>
      </c>
      <c r="D35" s="59">
        <f t="shared" si="10"/>
        <v>285354</v>
      </c>
      <c r="E35" s="56">
        <f>SUMIFS('[1]Unos rashoda i izdataka'!$K$3:$K$501,'[1]Unos rashoda i izdataka'!$C$3:$C$501,"=11",'[1]Unos rashoda i izdataka'!$P$3:$P$501,"=45")+SUMIFS('[1]Unos rashoda P4'!$I$3:$I$501,'[1]Unos rashoda P4'!$A$3:$A$501,"=11",'[1]Unos rashoda P4'!$S$3:$S$501,"=45")</f>
        <v>0</v>
      </c>
      <c r="F35" s="56">
        <f>SUMIFS('[1]Unos rashoda i izdataka'!$K$3:$K$501,'[1]Unos rashoda i izdataka'!$C$3:$C$501,"=12",'[1]Unos rashoda i izdataka'!$P$3:$P$501,"=45")+SUMIFS('[1]Unos rashoda P4'!$I$3:$I$501,'[1]Unos rashoda P4'!$A$3:$A$501,"=12",'[1]Unos rashoda P4'!$S$3:$S$501,"=45")</f>
        <v>0</v>
      </c>
      <c r="G35" s="56">
        <f>SUMIFS('[1]Unos rashoda i izdataka'!$K$3:$K$501,'[1]Unos rashoda i izdataka'!$C$3:$C$501,"=31",'[1]Unos rashoda i izdataka'!$P$3:$P$501,"=45")+SUMIFS('[1]Unos rashoda P4'!$I$3:$I$501,'[1]Unos rashoda P4'!$A$3:$A$501,"=31",'[1]Unos rashoda P4'!$S$3:$S$501,"=45")</f>
        <v>0</v>
      </c>
      <c r="H35" s="56">
        <f>SUMIFS('[1]Unos rashoda i izdataka'!$K$3:$K$501,'[1]Unos rashoda i izdataka'!$C$3:$C$501,"=41",'[1]Unos rashoda i izdataka'!$P$3:$P$501,"=45")+SUMIFS('[1]Unos rashoda P4'!$I$3:$I$501,'[1]Unos rashoda P4'!$A$3:$A$501,"=41",'[1]Unos rashoda P4'!$S$3:$S$501,"=45")</f>
        <v>0</v>
      </c>
      <c r="I35" s="56">
        <f>SUMIFS('[1]Unos rashoda i izdataka'!$K$3:$K$501,'[1]Unos rashoda i izdataka'!$C$3:$C$501,"=43",'[1]Unos rashoda i izdataka'!$P$3:$P$501,"=45")+SUMIFS('[1]Unos rashoda P4'!$I$3:$I$501,'[1]Unos rashoda P4'!$A$3:$A$501,"=43",'[1]Unos rashoda P4'!$S$3:$S$501,"=45")</f>
        <v>285354</v>
      </c>
      <c r="J35" s="56">
        <f>SUMIFS('[1]Unos rashoda i izdataka'!$K$3:$K$501,'[1]Unos rashoda i izdataka'!$C$3:$C$501,"=51",'[1]Unos rashoda i izdataka'!$P$3:$P$501,"=45")+SUMIFS('[1]Unos rashoda P4'!$I$3:$I$501,'[1]Unos rashoda P4'!$A$3:$A$501,"=51",'[1]Unos rashoda P4'!$S$3:$S$501,"=45")</f>
        <v>0</v>
      </c>
      <c r="K35" s="56">
        <f>SUMIFS('[1]Unos rashoda i izdataka'!$K$3:$K$501,'[1]Unos rashoda i izdataka'!$C$3:$C$501,"=52",'[1]Unos rashoda i izdataka'!$P$3:$P$501,"=45")+SUMIFS('[1]Unos rashoda P4'!$I$3:$I$501,'[1]Unos rashoda P4'!$A$3:$A$501,"=52",'[1]Unos rashoda P4'!$S$3:$S$501,"=45")</f>
        <v>0</v>
      </c>
      <c r="L35" s="56">
        <f>SUMIFS('[1]Unos rashoda i izdataka'!$K$3:$K$501,'[1]Unos rashoda i izdataka'!$C$3:$C$501,"=552",'[1]Unos rashoda i izdataka'!$P$3:$P$501,"=45")+SUMIFS('[1]Unos rashoda P4'!$I$3:$I$501,'[1]Unos rashoda P4'!$A$3:$A$501,"=552",'[1]Unos rashoda P4'!$S$3:$S$501,"=45")</f>
        <v>0</v>
      </c>
      <c r="M35" s="56">
        <f>SUMIFS('[1]Unos rashoda i izdataka'!$K$3:$K$501,'[1]Unos rashoda i izdataka'!$C$3:$C$501,"=559",'[1]Unos rashoda i izdataka'!$P$3:$P$501,"=45")+SUMIFS('[1]Unos rashoda P4'!$I$3:$I$501,'[1]Unos rashoda P4'!$A$3:$A$501,"=559",'[1]Unos rashoda P4'!$S$3:$S$501,"=45")</f>
        <v>0</v>
      </c>
      <c r="N35" s="56">
        <f>SUMIFS('[1]Unos rashoda i izdataka'!$K$3:$K$501,'[1]Unos rashoda i izdataka'!$C$3:$C$501,"=561",'[1]Unos rashoda i izdataka'!$P$3:$P$501,"=45")+SUMIFS('[1]Unos rashoda P4'!$I$3:$I$501,'[1]Unos rashoda P4'!$A$3:$A$501,"=561",'[1]Unos rashoda P4'!$S$3:$S$501,"=45")</f>
        <v>0</v>
      </c>
      <c r="O35" s="56">
        <f>SUMIFS('[1]Unos rashoda i izdataka'!$K$3:$K$501,'[1]Unos rashoda i izdataka'!$C$3:$C$501,"=563",'[1]Unos rashoda i izdataka'!$P$3:$P$501,"=45")+SUMIFS('[1]Unos rashoda P4'!$I$3:$I$501,'[1]Unos rashoda P4'!$A$3:$A$501,"=563",'[1]Unos rashoda P4'!$S$3:$S$501,"=45")</f>
        <v>0</v>
      </c>
      <c r="P35" s="56">
        <f>SUMIFS('[1]Unos rashoda i izdataka'!$K$3:$K$501,'[1]Unos rashoda i izdataka'!$C$3:$C$501,"=573",'[1]Unos rashoda i izdataka'!$P$3:$P$501,"=45")+SUMIFS('[1]Unos rashoda P4'!$I$3:$I$501,'[1]Unos rashoda P4'!$A$3:$A$501,"=573",'[1]Unos rashoda P4'!$S$3:$S$501,"=45")</f>
        <v>0</v>
      </c>
      <c r="Q35" s="56">
        <f>SUMIFS('[1]Unos rashoda i izdataka'!$K$3:$K$501,'[1]Unos rashoda i izdataka'!$C$3:$C$501,"=575",'[1]Unos rashoda i izdataka'!$P$3:$P$501,"=45")+SUMIFS('[1]Unos rashoda P4'!$I$3:$I$501,'[1]Unos rashoda P4'!$A$3:$A$501,"=575",'[1]Unos rashoda P4'!$S$3:$S$501,"=45")</f>
        <v>0</v>
      </c>
      <c r="R35" s="56">
        <f>SUMIFS('[1]Unos rashoda i izdataka'!$K$3:$K$501,'[1]Unos rashoda i izdataka'!$Q$3:$Q$501,"=576",'[1]Unos rashoda i izdataka'!$P$3:$P$501,"=45")+SUMIFS('[1]Unos rashoda P4'!$I$3:$I$501,'[1]Unos rashoda P4'!$A$3:$A$501,"=576",'[1]Unos rashoda P4'!$S$3:$S$501,"=45")</f>
        <v>0</v>
      </c>
      <c r="S35" s="56">
        <f>SUMIFS('[1]Unos rashoda i izdataka'!$K$3:$K$501,'[1]Unos rashoda i izdataka'!$C$3:$C$501,"=581",'[1]Unos rashoda i izdataka'!$P$3:$P$501,"=45")+SUMIFS('[1]Unos rashoda P4'!$I$3:$I$501,'[1]Unos rashoda P4'!$A$3:$A$501,"=581",'[1]Unos rashoda P4'!$S$3:$S$501,"=45")</f>
        <v>0</v>
      </c>
      <c r="T35" s="56">
        <f>SUMIFS('[1]Unos rashoda i izdataka'!$K$3:$K$501,'[1]Unos rashoda i izdataka'!$C$3:$C$501,"=61",'[1]Unos rashoda i izdataka'!$P$3:$P$501,"=45")+SUMIFS('[1]Unos rashoda P4'!$I$3:$I$501,'[1]Unos rashoda P4'!$A$3:$A$501,"=61",'[1]Unos rashoda P4'!$S$3:$S$501,"=45")</f>
        <v>0</v>
      </c>
      <c r="U35" s="56">
        <f>SUMIFS('[1]Unos rashoda i izdataka'!$K$3:$K$501,'[1]Unos rashoda i izdataka'!$C$3:$C$501,"=63",'[1]Unos rashoda i izdataka'!$P$3:$P$501,"=45")+SUMIFS('[1]Unos rashoda P4'!$I$3:$I$501,'[1]Unos rashoda P4'!$A$3:$A$501,"=63",'[1]Unos rashoda P4'!$S$3:$S$501,"=45")</f>
        <v>0</v>
      </c>
      <c r="V35" s="56">
        <f>SUMIFS('[1]Unos rashoda i izdataka'!$K$3:$K$501,'[1]Unos rashoda i izdataka'!$C$3:$C$501,"=71",'[1]Unos rashoda i izdataka'!$P$3:$P$501,"=45")+SUMIFS('[1]Unos rashoda P4'!$I$3:$I$501,'[1]Unos rashoda P4'!$A$3:$A$501,"=71",'[1]Unos rashoda P4'!$S$3:$S$501,"=45")</f>
        <v>0</v>
      </c>
      <c r="W35" s="56">
        <f>SUMIFS('[1]Unos rashoda i izdataka'!$K$3:$K$501,'[1]Unos rashoda i izdataka'!$C$3:$C$501,"=81",'[1]Unos rashoda i izdataka'!$P$3:$P$501,"=45")+SUMIFS('[1]Unos rashoda P4'!$I$3:$I$501,'[1]Unos rashoda P4'!$A$3:$A$501,"=81",'[1]Unos rashoda P4'!$S$3:$S$501,"=45")</f>
        <v>0</v>
      </c>
    </row>
    <row r="36" spans="1:23" x14ac:dyDescent="0.25">
      <c r="A36" s="6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63.75" x14ac:dyDescent="0.25">
      <c r="A37" s="46" t="s">
        <v>4</v>
      </c>
      <c r="B37" s="11" t="s">
        <v>124</v>
      </c>
      <c r="C37" s="11" t="s">
        <v>125</v>
      </c>
      <c r="D37" s="31" t="s">
        <v>148</v>
      </c>
      <c r="E37" s="31" t="s">
        <v>126</v>
      </c>
      <c r="F37" s="31" t="s">
        <v>9</v>
      </c>
      <c r="G37" s="11" t="s">
        <v>10</v>
      </c>
      <c r="H37" s="11" t="s">
        <v>127</v>
      </c>
      <c r="I37" s="11" t="s">
        <v>12</v>
      </c>
      <c r="J37" s="11" t="s">
        <v>13</v>
      </c>
      <c r="K37" s="11" t="s">
        <v>14</v>
      </c>
      <c r="L37" s="11" t="s">
        <v>15</v>
      </c>
      <c r="M37" s="11" t="s">
        <v>16</v>
      </c>
      <c r="N37" s="11" t="s">
        <v>17</v>
      </c>
      <c r="O37" s="11" t="s">
        <v>18</v>
      </c>
      <c r="P37" s="11" t="s">
        <v>19</v>
      </c>
      <c r="Q37" s="11" t="s">
        <v>128</v>
      </c>
      <c r="R37" s="11" t="s">
        <v>129</v>
      </c>
      <c r="S37" s="11" t="s">
        <v>22</v>
      </c>
      <c r="T37" s="11" t="s">
        <v>23</v>
      </c>
      <c r="U37" s="11" t="s">
        <v>24</v>
      </c>
      <c r="V37" s="11" t="s">
        <v>130</v>
      </c>
      <c r="W37" s="11" t="s">
        <v>131</v>
      </c>
    </row>
    <row r="38" spans="1:23" ht="21" x14ac:dyDescent="0.25">
      <c r="A38" s="47">
        <v>2025</v>
      </c>
      <c r="B38" s="13">
        <v>2025</v>
      </c>
      <c r="C38" s="13" t="s">
        <v>132</v>
      </c>
      <c r="D38" s="14">
        <f t="shared" ref="D38:D52" si="17">SUM(E38:W38)</f>
        <v>12446066</v>
      </c>
      <c r="E38" s="48">
        <f>E39+E47</f>
        <v>9090600</v>
      </c>
      <c r="F38" s="48">
        <f t="shared" ref="F38:W38" si="18">F39+F47</f>
        <v>0</v>
      </c>
      <c r="G38" s="48">
        <f t="shared" si="18"/>
        <v>292021</v>
      </c>
      <c r="H38" s="48">
        <f t="shared" si="18"/>
        <v>0</v>
      </c>
      <c r="I38" s="48">
        <f t="shared" si="18"/>
        <v>2817786</v>
      </c>
      <c r="J38" s="48">
        <f t="shared" si="18"/>
        <v>0</v>
      </c>
      <c r="K38" s="48">
        <f t="shared" si="18"/>
        <v>245659</v>
      </c>
      <c r="L38" s="48">
        <f t="shared" si="18"/>
        <v>0</v>
      </c>
      <c r="M38" s="48">
        <f t="shared" si="18"/>
        <v>0</v>
      </c>
      <c r="N38" s="48">
        <f t="shared" si="18"/>
        <v>0</v>
      </c>
      <c r="O38" s="48">
        <f t="shared" si="18"/>
        <v>0</v>
      </c>
      <c r="P38" s="48">
        <f t="shared" si="18"/>
        <v>0</v>
      </c>
      <c r="Q38" s="48">
        <f t="shared" si="18"/>
        <v>0</v>
      </c>
      <c r="R38" s="48">
        <f t="shared" si="18"/>
        <v>0</v>
      </c>
      <c r="S38" s="48">
        <f t="shared" si="18"/>
        <v>0</v>
      </c>
      <c r="T38" s="48">
        <f t="shared" si="18"/>
        <v>0</v>
      </c>
      <c r="U38" s="48">
        <f t="shared" si="18"/>
        <v>0</v>
      </c>
      <c r="V38" s="48">
        <f t="shared" si="18"/>
        <v>0</v>
      </c>
      <c r="W38" s="48">
        <f t="shared" si="18"/>
        <v>0</v>
      </c>
    </row>
    <row r="39" spans="1:23" x14ac:dyDescent="0.25">
      <c r="A39" s="47">
        <v>2025</v>
      </c>
      <c r="B39" s="49">
        <v>3</v>
      </c>
      <c r="C39" s="50" t="s">
        <v>133</v>
      </c>
      <c r="D39" s="51">
        <f t="shared" si="17"/>
        <v>12043686</v>
      </c>
      <c r="E39" s="52">
        <f t="shared" ref="E39:G39" si="19">SUM(E40:E46)</f>
        <v>9035266</v>
      </c>
      <c r="F39" s="52">
        <f t="shared" si="19"/>
        <v>0</v>
      </c>
      <c r="G39" s="52">
        <f t="shared" si="19"/>
        <v>292021</v>
      </c>
      <c r="H39" s="52">
        <f>SUM(H40:H46)</f>
        <v>0</v>
      </c>
      <c r="I39" s="52">
        <f t="shared" ref="I39:K39" si="20">SUM(I40:I46)</f>
        <v>2472740</v>
      </c>
      <c r="J39" s="52">
        <f t="shared" si="20"/>
        <v>0</v>
      </c>
      <c r="K39" s="52">
        <f t="shared" si="20"/>
        <v>243659</v>
      </c>
      <c r="L39" s="52">
        <f>SUM(L40:L46)</f>
        <v>0</v>
      </c>
      <c r="M39" s="52">
        <f t="shared" ref="M39:O39" si="21">SUM(M40:M46)</f>
        <v>0</v>
      </c>
      <c r="N39" s="52">
        <f t="shared" si="21"/>
        <v>0</v>
      </c>
      <c r="O39" s="52">
        <f t="shared" si="21"/>
        <v>0</v>
      </c>
      <c r="P39" s="52">
        <f>SUM(P40:P46)</f>
        <v>0</v>
      </c>
      <c r="Q39" s="52">
        <f>SUM(Q40:Q46)</f>
        <v>0</v>
      </c>
      <c r="R39" s="52">
        <f>SUM(R40:R46)</f>
        <v>0</v>
      </c>
      <c r="S39" s="52">
        <f>SUM(S40:S46)</f>
        <v>0</v>
      </c>
      <c r="T39" s="52">
        <f t="shared" ref="T39:W39" si="22">SUM(T40:T46)</f>
        <v>0</v>
      </c>
      <c r="U39" s="52">
        <f t="shared" si="22"/>
        <v>0</v>
      </c>
      <c r="V39" s="52">
        <f t="shared" si="22"/>
        <v>0</v>
      </c>
      <c r="W39" s="52">
        <f t="shared" si="22"/>
        <v>0</v>
      </c>
    </row>
    <row r="40" spans="1:23" x14ac:dyDescent="0.25">
      <c r="A40" s="47">
        <v>2025</v>
      </c>
      <c r="B40" s="53">
        <v>31</v>
      </c>
      <c r="C40" s="54" t="s">
        <v>134</v>
      </c>
      <c r="D40" s="55">
        <f t="shared" si="17"/>
        <v>8452594</v>
      </c>
      <c r="E40" s="56">
        <v>6811629</v>
      </c>
      <c r="F40" s="56">
        <f>SUMIFS('[1]Unos rashoda i izdataka'!$L$3:$L$501,'[1]Unos rashoda i izdataka'!$C$3:$C$501,"=12",'[1]Unos rashoda i izdataka'!$P$3:$P$501,"=31")+SUMIFS('[1]Unos rashoda P4'!$J$3:$J$501,'[1]Unos rashoda P4'!$A$3:$A$501,"=12",'[1]Unos rashoda P4'!$S$3:$S$501,"=31")</f>
        <v>0</v>
      </c>
      <c r="G40" s="56">
        <f>SUMIFS('[1]Unos rashoda i izdataka'!$L$3:$L$501,'[1]Unos rashoda i izdataka'!$C$3:$C$501,"=31",'[1]Unos rashoda i izdataka'!$P$3:$P$501,"=31")+SUMIFS('[1]Unos rashoda P4'!$J$3:$J$501,'[1]Unos rashoda P4'!$A$3:$A$501,"=31",'[1]Unos rashoda P4'!$S$3:$S$501,"=31")</f>
        <v>264484</v>
      </c>
      <c r="H40" s="56">
        <f>SUMIFS('[1]Unos rashoda i izdataka'!$L$3:$L$501,'[1]Unos rashoda i izdataka'!$C$3:$C$501,"=41",'[1]Unos rashoda i izdataka'!$P$3:$P$501,"=31")+SUMIFS('[1]Unos rashoda P4'!$J$3:$J$501,'[1]Unos rashoda P4'!$A$3:$A$501,"=41",'[1]Unos rashoda P4'!$S$3:$S$501,"=31")</f>
        <v>0</v>
      </c>
      <c r="I40" s="56">
        <f>SUMIFS('[1]Unos rashoda i izdataka'!$L$3:$L$501,'[1]Unos rashoda i izdataka'!$C$3:$C$501,"=43",'[1]Unos rashoda i izdataka'!$P$3:$P$501,"=31")+SUMIFS('[1]Unos rashoda P4'!$J$3:$J$501,'[1]Unos rashoda P4'!$A$3:$A$501,"=43",'[1]Unos rashoda P4'!$S$3:$S$501,"=31")</f>
        <v>1347969</v>
      </c>
      <c r="J40" s="56">
        <f>SUMIFS('[1]Unos rashoda i izdataka'!$L$3:$L$501,'[1]Unos rashoda i izdataka'!$C$3:$C$501,"=51",'[1]Unos rashoda i izdataka'!$P$3:$P$501,"=31")+SUMIFS('[1]Unos rashoda P4'!$J$3:$J$501,'[1]Unos rashoda P4'!$A$3:$A$501,"=51",'[1]Unos rashoda P4'!$S$3:$S$501,"=31")</f>
        <v>0</v>
      </c>
      <c r="K40" s="56">
        <f>SUMIFS('[1]Unos rashoda i izdataka'!$L$3:$L$501,'[1]Unos rashoda i izdataka'!$C$3:$C$501,"=52",'[1]Unos rashoda i izdataka'!$P$3:$P$501,"=31")+SUMIFS('[1]Unos rashoda P4'!$J$3:$J$501,'[1]Unos rashoda P4'!$A$3:$A$501,"=52",'[1]Unos rashoda P4'!$S$3:$S$501,"=31")</f>
        <v>28512</v>
      </c>
      <c r="L40" s="56">
        <f>SUMIFS('[1]Unos rashoda i izdataka'!$L$3:$L$501,'[1]Unos rashoda i izdataka'!$C$3:$C$501,"=552",'[1]Unos rashoda i izdataka'!$P$3:$P$501,"=31")+SUMIFS('[1]Unos rashoda P4'!$J$3:$J$501,'[1]Unos rashoda P4'!$A$3:$A$501,"=552",'[1]Unos rashoda P4'!$S$3:$S$501,"=31")</f>
        <v>0</v>
      </c>
      <c r="M40" s="56">
        <f>SUMIFS('[1]Unos rashoda i izdataka'!$L$3:$L$501,'[1]Unos rashoda i izdataka'!$C$3:$C$501,"=559",'[1]Unos rashoda i izdataka'!$P$3:$P$501,"=31")+SUMIFS('[1]Unos rashoda P4'!$J$3:$J$501,'[1]Unos rashoda P4'!$A$3:$A$501,"=559",'[1]Unos rashoda P4'!$S$3:$S$501,"=31")</f>
        <v>0</v>
      </c>
      <c r="N40" s="56">
        <f>SUMIFS('[1]Unos rashoda i izdataka'!$L$3:$L$501,'[1]Unos rashoda i izdataka'!$C$3:$C$501,"=561",'[1]Unos rashoda i izdataka'!$P$3:$P$501,"=31")+SUMIFS('[1]Unos rashoda P4'!$J$3:$J$501,'[1]Unos rashoda P4'!$A$3:$A$501,"=561",'[1]Unos rashoda P4'!$S$3:$S$501,"=31")</f>
        <v>0</v>
      </c>
      <c r="O40" s="56">
        <f>SUMIFS('[1]Unos rashoda i izdataka'!$L$3:$L$501,'[1]Unos rashoda i izdataka'!$C$3:$C$501,"=563",'[1]Unos rashoda i izdataka'!$P$3:$P$501,"=31")+SUMIFS('[1]Unos rashoda P4'!$J$3:$J$501,'[1]Unos rashoda P4'!$A$3:$A$501,"=563",'[1]Unos rashoda P4'!$S$3:$S$501,"=31")</f>
        <v>0</v>
      </c>
      <c r="P40" s="56">
        <f>SUMIFS('[1]Unos rashoda i izdataka'!$L$3:$L$501,'[1]Unos rashoda i izdataka'!$C$3:$C$501,"=573",'[1]Unos rashoda i izdataka'!$P$3:$P$501,"=31")+SUMIFS('[1]Unos rashoda P4'!$J$3:$J$501,'[1]Unos rashoda P4'!$A$3:$A$501,"=573",'[1]Unos rashoda P4'!$S$3:$S$501,"=31")</f>
        <v>0</v>
      </c>
      <c r="Q40" s="56">
        <f>SUMIFS('[1]Unos rashoda i izdataka'!$L$3:$L$501,'[1]Unos rashoda i izdataka'!$C$3:$C$501,"=575",'[1]Unos rashoda i izdataka'!$P$3:$P$501,"=31")+SUMIFS('[1]Unos rashoda P4'!$J$3:$J$501,'[1]Unos rashoda P4'!$A$3:$A$501,"=575",'[1]Unos rashoda P4'!$S$3:$S$501,"=31")</f>
        <v>0</v>
      </c>
      <c r="R40" s="56">
        <f>SUMIFS('[1]Unos rashoda i izdataka'!$L$3:$L$501,'[1]Unos rashoda i izdataka'!$Q$3:$Q$501,"=576",'[1]Unos rashoda i izdataka'!$P$3:$P$501,"=31")+SUMIFS('[1]Unos rashoda P4'!$J$3:$J$501,'[1]Unos rashoda P4'!$A$3:$A$501,"=576",'[1]Unos rashoda P4'!$S$3:$S$501,"=31")</f>
        <v>0</v>
      </c>
      <c r="S40" s="56">
        <f>SUMIFS('[1]Unos rashoda i izdataka'!$L$3:$L$501,'[1]Unos rashoda i izdataka'!$C$3:$C$501,"=581",'[1]Unos rashoda i izdataka'!$P$3:$P$501,"=31")+SUMIFS('[1]Unos rashoda P4'!$J$3:$J$501,'[1]Unos rashoda P4'!$A$3:$A$501,"=581",'[1]Unos rashoda P4'!$S$3:$S$501,"=31")</f>
        <v>0</v>
      </c>
      <c r="T40" s="56">
        <f>SUMIFS('[1]Unos rashoda i izdataka'!$L$3:$L$501,'[1]Unos rashoda i izdataka'!$C$3:$C$501,"=61",'[1]Unos rashoda i izdataka'!$P$3:$P$501,"=31")+SUMIFS('[1]Unos rashoda P4'!$J$3:$J$501,'[1]Unos rashoda P4'!$A$3:$A$501,"=61",'[1]Unos rashoda P4'!$S$3:$S$501,"=31")</f>
        <v>0</v>
      </c>
      <c r="U40" s="56">
        <f>SUMIFS('[1]Unos rashoda i izdataka'!$L$3:$L$501,'[1]Unos rashoda i izdataka'!$C$3:$C$501,"=63",'[1]Unos rashoda i izdataka'!$P$3:$P$501,"=31")+SUMIFS('[1]Unos rashoda P4'!$J$3:$J$501,'[1]Unos rashoda P4'!$A$3:$A$501,"=63",'[1]Unos rashoda P4'!$S$3:$S$501,"=31")</f>
        <v>0</v>
      </c>
      <c r="V40" s="56">
        <f>SUMIFS('[1]Unos rashoda i izdataka'!$L$3:$L$501,'[1]Unos rashoda i izdataka'!$C$3:$C$501,"=71",'[1]Unos rashoda i izdataka'!$P$3:$P$501,"=31")+SUMIFS('[1]Unos rashoda P4'!$J$3:$J$501,'[1]Unos rashoda P4'!$A$3:$A$501,"=71",'[1]Unos rashoda P4'!$S$3:$S$501,"=31")</f>
        <v>0</v>
      </c>
      <c r="W40" s="56">
        <f>SUMIFS('[1]Unos rashoda i izdataka'!$L$3:$L$501,'[1]Unos rashoda i izdataka'!$C$3:$C$501,"=81",'[1]Unos rashoda i izdataka'!$P$3:$P$501,"=31")+SUMIFS('[1]Unos rashoda P4'!$J$3:$J$501,'[1]Unos rashoda P4'!$A$3:$A$501,"=81",'[1]Unos rashoda P4'!$S$3:$S$501,"=31")</f>
        <v>0</v>
      </c>
    </row>
    <row r="41" spans="1:23" x14ac:dyDescent="0.25">
      <c r="A41" s="47">
        <v>2025</v>
      </c>
      <c r="B41" s="57">
        <v>32</v>
      </c>
      <c r="C41" s="58" t="s">
        <v>135</v>
      </c>
      <c r="D41" s="59">
        <f t="shared" si="17"/>
        <v>2709810</v>
      </c>
      <c r="E41" s="56">
        <v>2033359</v>
      </c>
      <c r="F41" s="56">
        <f>SUMIFS('[1]Unos rashoda i izdataka'!$L$3:$L$501,'[1]Unos rashoda i izdataka'!$C$3:$C$501,"=12",'[1]Unos rashoda i izdataka'!$P$3:$P$501,"=32")+SUMIFS('[1]Unos rashoda P4'!$J$3:$J$501,'[1]Unos rashoda P4'!$A$3:$A$501,"=12",'[1]Unos rashoda P4'!$S$3:$S$501,"=32")</f>
        <v>0</v>
      </c>
      <c r="G41" s="56">
        <f>SUMIFS('[1]Unos rashoda i izdataka'!$L$3:$L$501,'[1]Unos rashoda i izdataka'!$C$3:$C$501,"=31",'[1]Unos rashoda i izdataka'!$P$3:$P$501,"=32")+SUMIFS('[1]Unos rashoda P4'!$J$3:$J$501,'[1]Unos rashoda P4'!$A$3:$A$501,"=31",'[1]Unos rashoda P4'!$S$3:$S$501,"=32")</f>
        <v>27537</v>
      </c>
      <c r="H41" s="56">
        <f>SUMIFS('[1]Unos rashoda i izdataka'!$L$3:$L$501,'[1]Unos rashoda i izdataka'!$C$3:$C$501,"=41",'[1]Unos rashoda i izdataka'!$P$3:$P$501,"=32")+SUMIFS('[1]Unos rashoda P4'!$J$3:$J$501,'[1]Unos rashoda P4'!$A$3:$A$501,"=41",'[1]Unos rashoda P4'!$S$3:$S$501,"=32")</f>
        <v>0</v>
      </c>
      <c r="I41" s="56">
        <f>SUMIFS('[1]Unos rashoda i izdataka'!$L$3:$L$501,'[1]Unos rashoda i izdataka'!$C$3:$C$501,"=43",'[1]Unos rashoda i izdataka'!$P$3:$P$501,"=32")+SUMIFS('[1]Unos rashoda P4'!$J$3:$J$501,'[1]Unos rashoda P4'!$A$3:$A$501,"=43",'[1]Unos rashoda P4'!$S$3:$S$501,"=32")</f>
        <v>580564</v>
      </c>
      <c r="J41" s="56">
        <f>SUMIFS('[1]Unos rashoda i izdataka'!$L$3:$L$501,'[1]Unos rashoda i izdataka'!$C$3:$C$501,"=51",'[1]Unos rashoda i izdataka'!$P$3:$P$501,"=32")+SUMIFS('[1]Unos rashoda P4'!$J$3:$J$501,'[1]Unos rashoda P4'!$A$3:$A$501,"=51",'[1]Unos rashoda P4'!$S$3:$S$501,"=32")</f>
        <v>0</v>
      </c>
      <c r="K41" s="56">
        <v>68350</v>
      </c>
      <c r="L41" s="56">
        <f>SUMIFS('[1]Unos rashoda i izdataka'!$L$3:$L$501,'[1]Unos rashoda i izdataka'!$C$3:$C$501,"=552",'[1]Unos rashoda i izdataka'!$P$3:$P$501,"=32")+SUMIFS('[1]Unos rashoda P4'!$J$3:$J$501,'[1]Unos rashoda P4'!$A$3:$A$501,"=552",'[1]Unos rashoda P4'!$S$3:$S$501,"=32")</f>
        <v>0</v>
      </c>
      <c r="M41" s="56">
        <f>SUMIFS('[1]Unos rashoda i izdataka'!$L$3:$L$501,'[1]Unos rashoda i izdataka'!$C$3:$C$501,"=559",'[1]Unos rashoda i izdataka'!$P$3:$P$501,"=32")+SUMIFS('[1]Unos rashoda P4'!$J$3:$J$501,'[1]Unos rashoda P4'!$A$3:$A$501,"=559",'[1]Unos rashoda P4'!$S$3:$S$501,"=32")</f>
        <v>0</v>
      </c>
      <c r="N41" s="56">
        <f>SUMIFS('[1]Unos rashoda i izdataka'!$L$3:$L$501,'[1]Unos rashoda i izdataka'!$C$3:$C$501,"=561",'[1]Unos rashoda i izdataka'!$P$3:$P$501,"=32")+SUMIFS('[1]Unos rashoda P4'!$J$3:$J$501,'[1]Unos rashoda P4'!$A$3:$A$501,"=561",'[1]Unos rashoda P4'!$S$3:$S$501,"=32")</f>
        <v>0</v>
      </c>
      <c r="O41" s="56">
        <f>SUMIFS('[1]Unos rashoda i izdataka'!$L$3:$L$501,'[1]Unos rashoda i izdataka'!$C$3:$C$501,"=563",'[1]Unos rashoda i izdataka'!$P$3:$P$501,"=32")+SUMIFS('[1]Unos rashoda P4'!$J$3:$J$501,'[1]Unos rashoda P4'!$A$3:$A$501,"=563",'[1]Unos rashoda P4'!$S$3:$S$501,"=32")</f>
        <v>0</v>
      </c>
      <c r="P41" s="56">
        <f>SUMIFS('[1]Unos rashoda i izdataka'!$L$3:$L$501,'[1]Unos rashoda i izdataka'!$C$3:$C$501,"=573",'[1]Unos rashoda i izdataka'!$P$3:$P$501,"=32")+SUMIFS('[1]Unos rashoda P4'!$J$3:$J$501,'[1]Unos rashoda P4'!$A$3:$A$501,"=573",'[1]Unos rashoda P4'!$S$3:$S$501,"=32")</f>
        <v>0</v>
      </c>
      <c r="Q41" s="56">
        <f>SUMIFS('[1]Unos rashoda i izdataka'!$L$3:$L$501,'[1]Unos rashoda i izdataka'!$C$3:$C$501,"=575",'[1]Unos rashoda i izdataka'!$P$3:$P$501,"=32")+SUMIFS('[1]Unos rashoda P4'!$J$3:$J$501,'[1]Unos rashoda P4'!$A$3:$A$501,"=575",'[1]Unos rashoda P4'!$S$3:$S$501,"=32")</f>
        <v>0</v>
      </c>
      <c r="R41" s="56">
        <f>SUMIFS('[1]Unos rashoda i izdataka'!$L$3:$L$501,'[1]Unos rashoda i izdataka'!$Q$3:$Q$501,"=576",'[1]Unos rashoda i izdataka'!$P$3:$P$501,"=32")+SUMIFS('[1]Unos rashoda P4'!$J$3:$J$501,'[1]Unos rashoda P4'!$A$3:$A$501,"=576",'[1]Unos rashoda P4'!$S$3:$S$501,"=32")</f>
        <v>0</v>
      </c>
      <c r="S41" s="56">
        <f>SUMIFS('[1]Unos rashoda i izdataka'!$L$3:$L$501,'[1]Unos rashoda i izdataka'!$C$3:$C$501,"=581",'[1]Unos rashoda i izdataka'!$P$3:$P$501,"=32")+SUMIFS('[1]Unos rashoda P4'!$J$3:$J$501,'[1]Unos rashoda P4'!$A$3:$A$501,"=581",'[1]Unos rashoda P4'!$S$3:$S$501,"=32")</f>
        <v>0</v>
      </c>
      <c r="T41" s="56">
        <f>SUMIFS('[1]Unos rashoda i izdataka'!$L$3:$L$501,'[1]Unos rashoda i izdataka'!$C$3:$C$501,"=61",'[1]Unos rashoda i izdataka'!$P$3:$P$501,"=32")+SUMIFS('[1]Unos rashoda P4'!$J$3:$J$501,'[1]Unos rashoda P4'!$A$3:$A$501,"=61",'[1]Unos rashoda P4'!$S$3:$S$501,"=32")</f>
        <v>0</v>
      </c>
      <c r="U41" s="56">
        <f>SUMIFS('[1]Unos rashoda i izdataka'!$L$3:$L$501,'[1]Unos rashoda i izdataka'!$C$3:$C$501,"=63",'[1]Unos rashoda i izdataka'!$P$3:$P$501,"=32")+SUMIFS('[1]Unos rashoda P4'!$J$3:$J$501,'[1]Unos rashoda P4'!$A$3:$A$501,"=63",'[1]Unos rashoda P4'!$S$3:$S$501,"=32")</f>
        <v>0</v>
      </c>
      <c r="V41" s="56">
        <f>SUMIFS('[1]Unos rashoda i izdataka'!$L$3:$L$501,'[1]Unos rashoda i izdataka'!$C$3:$C$501,"=71",'[1]Unos rashoda i izdataka'!$P$3:$P$501,"=32")+SUMIFS('[1]Unos rashoda P4'!$J$3:$J$501,'[1]Unos rashoda P4'!$A$3:$A$501,"=71",'[1]Unos rashoda P4'!$S$3:$S$501,"=32")</f>
        <v>0</v>
      </c>
      <c r="W41" s="56">
        <f>SUMIFS('[1]Unos rashoda i izdataka'!$L$3:$L$501,'[1]Unos rashoda i izdataka'!$C$3:$C$501,"=81",'[1]Unos rashoda i izdataka'!$P$3:$P$501,"=32")+SUMIFS('[1]Unos rashoda P4'!$J$3:$J$501,'[1]Unos rashoda P4'!$A$3:$A$501,"=81",'[1]Unos rashoda P4'!$S$3:$S$501,"=32")</f>
        <v>0</v>
      </c>
    </row>
    <row r="42" spans="1:23" x14ac:dyDescent="0.25">
      <c r="A42" s="47">
        <v>2025</v>
      </c>
      <c r="B42" s="57">
        <v>34</v>
      </c>
      <c r="C42" s="58" t="s">
        <v>136</v>
      </c>
      <c r="D42" s="59">
        <f t="shared" si="17"/>
        <v>31670</v>
      </c>
      <c r="E42" s="56">
        <v>6564</v>
      </c>
      <c r="F42" s="56">
        <f>SUMIFS('[1]Unos rashoda i izdataka'!$L$3:$L$501,'[1]Unos rashoda i izdataka'!$C$3:$C$501,"=12",'[1]Unos rashoda i izdataka'!$P$3:$P$501,"=34")+SUMIFS('[1]Unos rashoda P4'!$J$3:$J$501,'[1]Unos rashoda P4'!$A$3:$A$501,"=12",'[1]Unos rashoda P4'!$S$3:$S$501,"=34")</f>
        <v>0</v>
      </c>
      <c r="G42" s="56">
        <f>SUMIFS('[1]Unos rashoda i izdataka'!$L$3:$L$501,'[1]Unos rashoda i izdataka'!$C$3:$C$501,"=31",'[1]Unos rashoda i izdataka'!$P$3:$P$501,"=34")+SUMIFS('[1]Unos rashoda P4'!$J$3:$J$501,'[1]Unos rashoda P4'!$A$3:$A$501,"=31",'[1]Unos rashoda P4'!$S$3:$S$501,"=34")</f>
        <v>0</v>
      </c>
      <c r="H42" s="56">
        <f>SUMIFS('[1]Unos rashoda i izdataka'!$L$3:$L$501,'[1]Unos rashoda i izdataka'!$C$3:$C$501,"=41",'[1]Unos rashoda i izdataka'!$P$3:$P$501,"=34")+SUMIFS('[1]Unos rashoda P4'!$J$3:$J$501,'[1]Unos rashoda P4'!$A$3:$A$501,"=41",'[1]Unos rashoda P4'!$S$3:$S$501,"=34")</f>
        <v>0</v>
      </c>
      <c r="I42" s="56">
        <f>SUMIFS('[1]Unos rashoda i izdataka'!$L$3:$L$501,'[1]Unos rashoda i izdataka'!$C$3:$C$501,"=43",'[1]Unos rashoda i izdataka'!$P$3:$P$501,"=34")+SUMIFS('[1]Unos rashoda P4'!$J$3:$J$501,'[1]Unos rashoda P4'!$A$3:$A$501,"=43",'[1]Unos rashoda P4'!$S$3:$S$501,"=34")</f>
        <v>25040</v>
      </c>
      <c r="J42" s="56">
        <f>SUMIFS('[1]Unos rashoda i izdataka'!$L$3:$L$501,'[1]Unos rashoda i izdataka'!$C$3:$C$501,"=51",'[1]Unos rashoda i izdataka'!$P$3:$P$501,"=34")+SUMIFS('[1]Unos rashoda P4'!$J$3:$J$501,'[1]Unos rashoda P4'!$A$3:$A$501,"=51",'[1]Unos rashoda P4'!$S$3:$S$501,"=34")</f>
        <v>0</v>
      </c>
      <c r="K42" s="56">
        <f>SUMIFS('[1]Unos rashoda i izdataka'!$L$3:$L$501,'[1]Unos rashoda i izdataka'!$C$3:$C$501,"=52",'[1]Unos rashoda i izdataka'!$P$3:$P$501,"=34")+SUMIFS('[1]Unos rashoda P4'!$J$3:$J$501,'[1]Unos rashoda P4'!$A$3:$A$501,"=52",'[1]Unos rashoda P4'!$S$3:$S$501,"=34")</f>
        <v>66</v>
      </c>
      <c r="L42" s="56">
        <f>SUMIFS('[1]Unos rashoda i izdataka'!$L$3:$L$501,'[1]Unos rashoda i izdataka'!$C$3:$C$501,"=552",'[1]Unos rashoda i izdataka'!$P$3:$P$501,"=34")+SUMIFS('[1]Unos rashoda P4'!$J$3:$J$501,'[1]Unos rashoda P4'!$A$3:$A$501,"=552",'[1]Unos rashoda P4'!$S$3:$S$501,"=34")</f>
        <v>0</v>
      </c>
      <c r="M42" s="56">
        <f>SUMIFS('[1]Unos rashoda i izdataka'!$L$3:$L$501,'[1]Unos rashoda i izdataka'!$C$3:$C$501,"=559",'[1]Unos rashoda i izdataka'!$P$3:$P$501,"=34")+SUMIFS('[1]Unos rashoda P4'!$J$3:$J$501,'[1]Unos rashoda P4'!$A$3:$A$501,"=559",'[1]Unos rashoda P4'!$S$3:$S$501,"=34")</f>
        <v>0</v>
      </c>
      <c r="N42" s="56">
        <f>SUMIFS('[1]Unos rashoda i izdataka'!$L$3:$L$501,'[1]Unos rashoda i izdataka'!$C$3:$C$501,"=561",'[1]Unos rashoda i izdataka'!$P$3:$P$501,"=34")+SUMIFS('[1]Unos rashoda P4'!$J$3:$J$501,'[1]Unos rashoda P4'!$A$3:$A$501,"=561",'[1]Unos rashoda P4'!$S$3:$S$501,"=34")</f>
        <v>0</v>
      </c>
      <c r="O42" s="56">
        <f>SUMIFS('[1]Unos rashoda i izdataka'!$L$3:$L$501,'[1]Unos rashoda i izdataka'!$C$3:$C$501,"=563",'[1]Unos rashoda i izdataka'!$P$3:$P$501,"=34")+SUMIFS('[1]Unos rashoda P4'!$J$3:$J$501,'[1]Unos rashoda P4'!$A$3:$A$501,"=563",'[1]Unos rashoda P4'!$S$3:$S$501,"=34")</f>
        <v>0</v>
      </c>
      <c r="P42" s="56">
        <f>SUMIFS('[1]Unos rashoda i izdataka'!$L$3:$L$501,'[1]Unos rashoda i izdataka'!$C$3:$C$501,"=573",'[1]Unos rashoda i izdataka'!$P$3:$P$501,"=34")+SUMIFS('[1]Unos rashoda P4'!$J$3:$J$501,'[1]Unos rashoda P4'!$A$3:$A$501,"=573",'[1]Unos rashoda P4'!$S$3:$S$501,"=34")</f>
        <v>0</v>
      </c>
      <c r="Q42" s="56">
        <f>SUMIFS('[1]Unos rashoda i izdataka'!$L$3:$L$501,'[1]Unos rashoda i izdataka'!$C$3:$C$501,"=575",'[1]Unos rashoda i izdataka'!$P$3:$P$501,"=34")+SUMIFS('[1]Unos rashoda P4'!$J$3:$J$501,'[1]Unos rashoda P4'!$A$3:$A$501,"=575",'[1]Unos rashoda P4'!$S$3:$S$501,"=34")</f>
        <v>0</v>
      </c>
      <c r="R42" s="56">
        <f>SUMIFS('[1]Unos rashoda i izdataka'!$L$3:$L$501,'[1]Unos rashoda i izdataka'!$Q$3:$Q$501,"=576",'[1]Unos rashoda i izdataka'!$P$3:$P$501,"=34")+SUMIFS('[1]Unos rashoda P4'!$J$3:$J$501,'[1]Unos rashoda P4'!$A$3:$A$501,"=576",'[1]Unos rashoda P4'!$S$3:$S$501,"=34")</f>
        <v>0</v>
      </c>
      <c r="S42" s="56">
        <f>SUMIFS('[1]Unos rashoda i izdataka'!$L$3:$L$501,'[1]Unos rashoda i izdataka'!$C$3:$C$501,"=581",'[1]Unos rashoda i izdataka'!$P$3:$P$501,"=34")+SUMIFS('[1]Unos rashoda P4'!$J$3:$J$501,'[1]Unos rashoda P4'!$A$3:$A$501,"=581",'[1]Unos rashoda P4'!$S$3:$S$501,"=34")</f>
        <v>0</v>
      </c>
      <c r="T42" s="56">
        <f>SUMIFS('[1]Unos rashoda i izdataka'!$L$3:$L$501,'[1]Unos rashoda i izdataka'!$C$3:$C$501,"=61",'[1]Unos rashoda i izdataka'!$P$3:$P$501,"=34")+SUMIFS('[1]Unos rashoda P4'!$J$3:$J$501,'[1]Unos rashoda P4'!$A$3:$A$501,"=61",'[1]Unos rashoda P4'!$S$3:$S$501,"=34")</f>
        <v>0</v>
      </c>
      <c r="U42" s="56">
        <f>SUMIFS('[1]Unos rashoda i izdataka'!$L$3:$L$501,'[1]Unos rashoda i izdataka'!$C$3:$C$501,"=63",'[1]Unos rashoda i izdataka'!$P$3:$P$501,"=34")+SUMIFS('[1]Unos rashoda P4'!$J$3:$J$501,'[1]Unos rashoda P4'!$A$3:$A$501,"=63",'[1]Unos rashoda P4'!$S$3:$S$501,"=34")</f>
        <v>0</v>
      </c>
      <c r="V42" s="56">
        <f>SUMIFS('[1]Unos rashoda i izdataka'!$L$3:$L$501,'[1]Unos rashoda i izdataka'!$C$3:$C$501,"=71",'[1]Unos rashoda i izdataka'!$P$3:$P$501,"=34")+SUMIFS('[1]Unos rashoda P4'!$J$3:$J$501,'[1]Unos rashoda P4'!$A$3:$A$501,"=71",'[1]Unos rashoda P4'!$S$3:$S$501,"=34")</f>
        <v>0</v>
      </c>
      <c r="W42" s="56">
        <f>SUMIFS('[1]Unos rashoda i izdataka'!$L$3:$L$501,'[1]Unos rashoda i izdataka'!$C$3:$C$501,"=81",'[1]Unos rashoda i izdataka'!$P$3:$P$501,"=34")+SUMIFS('[1]Unos rashoda P4'!$J$3:$J$501,'[1]Unos rashoda P4'!$A$3:$A$501,"=81",'[1]Unos rashoda P4'!$S$3:$S$501,"=34")</f>
        <v>0</v>
      </c>
    </row>
    <row r="43" spans="1:23" x14ac:dyDescent="0.25">
      <c r="A43" s="47">
        <v>2025</v>
      </c>
      <c r="B43" s="57">
        <v>35</v>
      </c>
      <c r="C43" s="58" t="s">
        <v>137</v>
      </c>
      <c r="D43" s="59">
        <f t="shared" si="17"/>
        <v>0</v>
      </c>
      <c r="E43" s="56">
        <f>SUMIFS('[1]Unos rashoda i izdataka'!$L$3:$L$501,'[1]Unos rashoda i izdataka'!$C$3:$C$501,"=11",'[1]Unos rashoda i izdataka'!$P$3:$P$501,"=35")+SUMIFS('[1]Unos rashoda P4'!$J$3:$J$501,'[1]Unos rashoda P4'!$A$3:$A$501,"=11",'[1]Unos rashoda P4'!$S$3:$S$501,"=35")</f>
        <v>0</v>
      </c>
      <c r="F43" s="56">
        <f>SUMIFS('[1]Unos rashoda i izdataka'!$L$3:$L$501,'[1]Unos rashoda i izdataka'!$C$3:$C$501,"=12",'[1]Unos rashoda i izdataka'!$P$3:$P$501,"=35")+SUMIFS('[1]Unos rashoda P4'!$J$3:$J$501,'[1]Unos rashoda P4'!$A$3:$A$501,"=12",'[1]Unos rashoda P4'!$S$3:$S$501,"=35")</f>
        <v>0</v>
      </c>
      <c r="G43" s="56">
        <f>SUMIFS('[1]Unos rashoda i izdataka'!$L$3:$L$501,'[1]Unos rashoda i izdataka'!$C$3:$C$501,"=31",'[1]Unos rashoda i izdataka'!$P$3:$P$501,"=35")+SUMIFS('[1]Unos rashoda P4'!$J$3:$J$501,'[1]Unos rashoda P4'!$A$3:$A$501,"=31",'[1]Unos rashoda P4'!$S$3:$S$501,"=35")</f>
        <v>0</v>
      </c>
      <c r="H43" s="56">
        <f>SUMIFS('[1]Unos rashoda i izdataka'!$L$3:$L$501,'[1]Unos rashoda i izdataka'!$C$3:$C$501,"=41",'[1]Unos rashoda i izdataka'!$P$3:$P$501,"=35")+SUMIFS('[1]Unos rashoda P4'!$J$3:$J$501,'[1]Unos rashoda P4'!$A$3:$A$501,"=41",'[1]Unos rashoda P4'!$S$3:$S$501,"=35")</f>
        <v>0</v>
      </c>
      <c r="I43" s="56">
        <f>SUMIFS('[1]Unos rashoda i izdataka'!$L$3:$L$501,'[1]Unos rashoda i izdataka'!$C$3:$C$501,"=43",'[1]Unos rashoda i izdataka'!$P$3:$P$501,"=35")+SUMIFS('[1]Unos rashoda P4'!$J$3:$J$501,'[1]Unos rashoda P4'!$A$3:$A$501,"=43",'[1]Unos rashoda P4'!$S$3:$S$501,"=35")</f>
        <v>0</v>
      </c>
      <c r="J43" s="56">
        <f>SUMIFS('[1]Unos rashoda i izdataka'!$L$3:$L$501,'[1]Unos rashoda i izdataka'!$C$3:$C$501,"=51",'[1]Unos rashoda i izdataka'!$P$3:$P$501,"=35")+SUMIFS('[1]Unos rashoda P4'!$J$3:$J$501,'[1]Unos rashoda P4'!$A$3:$A$501,"=51",'[1]Unos rashoda P4'!$S$3:$S$501,"=35")</f>
        <v>0</v>
      </c>
      <c r="K43" s="56">
        <f>SUMIFS('[1]Unos rashoda i izdataka'!$L$3:$L$501,'[1]Unos rashoda i izdataka'!$C$3:$C$501,"=52",'[1]Unos rashoda i izdataka'!$P$3:$P$501,"=35")+SUMIFS('[1]Unos rashoda P4'!$J$3:$J$501,'[1]Unos rashoda P4'!$A$3:$A$501,"=52",'[1]Unos rashoda P4'!$S$3:$S$501,"=35")</f>
        <v>0</v>
      </c>
      <c r="L43" s="56">
        <f>SUMIFS('[1]Unos rashoda i izdataka'!$L$3:$L$501,'[1]Unos rashoda i izdataka'!$C$3:$C$501,"=552",'[1]Unos rashoda i izdataka'!$P$3:$P$501,"=35")+SUMIFS('[1]Unos rashoda P4'!$J$3:$J$501,'[1]Unos rashoda P4'!$A$3:$A$501,"=552",'[1]Unos rashoda P4'!$S$3:$S$501,"=35")</f>
        <v>0</v>
      </c>
      <c r="M43" s="56">
        <f>SUMIFS('[1]Unos rashoda i izdataka'!$L$3:$L$501,'[1]Unos rashoda i izdataka'!$C$3:$C$501,"=559",'[1]Unos rashoda i izdataka'!$P$3:$P$501,"=35")+SUMIFS('[1]Unos rashoda P4'!$J$3:$J$501,'[1]Unos rashoda P4'!$A$3:$A$501,"=559",'[1]Unos rashoda P4'!$S$3:$S$501,"=35")</f>
        <v>0</v>
      </c>
      <c r="N43" s="56">
        <f>SUMIFS('[1]Unos rashoda i izdataka'!$L$3:$L$501,'[1]Unos rashoda i izdataka'!$C$3:$C$501,"=561",'[1]Unos rashoda i izdataka'!$P$3:$P$501,"=35")+SUMIFS('[1]Unos rashoda P4'!$J$3:$J$501,'[1]Unos rashoda P4'!$A$3:$A$501,"=561",'[1]Unos rashoda P4'!$S$3:$S$501,"=35")</f>
        <v>0</v>
      </c>
      <c r="O43" s="56">
        <f>SUMIFS('[1]Unos rashoda i izdataka'!$L$3:$L$501,'[1]Unos rashoda i izdataka'!$C$3:$C$501,"=563",'[1]Unos rashoda i izdataka'!$P$3:$P$501,"=35")+SUMIFS('[1]Unos rashoda P4'!$J$3:$J$501,'[1]Unos rashoda P4'!$A$3:$A$501,"=563",'[1]Unos rashoda P4'!$S$3:$S$501,"=35")</f>
        <v>0</v>
      </c>
      <c r="P43" s="56">
        <f>SUMIFS('[1]Unos rashoda i izdataka'!$L$3:$L$501,'[1]Unos rashoda i izdataka'!$C$3:$C$501,"=573",'[1]Unos rashoda i izdataka'!$P$3:$P$501,"=35")+SUMIFS('[1]Unos rashoda P4'!$J$3:$J$501,'[1]Unos rashoda P4'!$A$3:$A$501,"=573",'[1]Unos rashoda P4'!$S$3:$S$501,"=35")</f>
        <v>0</v>
      </c>
      <c r="Q43" s="56">
        <f>SUMIFS('[1]Unos rashoda i izdataka'!$L$3:$L$501,'[1]Unos rashoda i izdataka'!$C$3:$C$501,"=575",'[1]Unos rashoda i izdataka'!$P$3:$P$501,"=35")+SUMIFS('[1]Unos rashoda P4'!$J$3:$J$501,'[1]Unos rashoda P4'!$A$3:$A$501,"=575",'[1]Unos rashoda P4'!$S$3:$S$501,"=35")</f>
        <v>0</v>
      </c>
      <c r="R43" s="56">
        <f>SUMIFS('[1]Unos rashoda i izdataka'!$L$3:$L$501,'[1]Unos rashoda i izdataka'!$Q$3:$Q$501,"=576",'[1]Unos rashoda i izdataka'!$P$3:$P$501,"=35")+SUMIFS('[1]Unos rashoda P4'!$J$3:$J$501,'[1]Unos rashoda P4'!$A$3:$A$501,"=576",'[1]Unos rashoda P4'!$S$3:$S$501,"=35")</f>
        <v>0</v>
      </c>
      <c r="S43" s="56">
        <f>SUMIFS('[1]Unos rashoda i izdataka'!$L$3:$L$501,'[1]Unos rashoda i izdataka'!$C$3:$C$501,"=581",'[1]Unos rashoda i izdataka'!$P$3:$P$501,"=35")+SUMIFS('[1]Unos rashoda P4'!$J$3:$J$501,'[1]Unos rashoda P4'!$A$3:$A$501,"=581",'[1]Unos rashoda P4'!$S$3:$S$501,"=35")</f>
        <v>0</v>
      </c>
      <c r="T43" s="56">
        <f>SUMIFS('[1]Unos rashoda i izdataka'!$L$3:$L$501,'[1]Unos rashoda i izdataka'!$C$3:$C$501,"=61",'[1]Unos rashoda i izdataka'!$P$3:$P$501,"=35")+SUMIFS('[1]Unos rashoda P4'!$J$3:$J$501,'[1]Unos rashoda P4'!$A$3:$A$501,"=61",'[1]Unos rashoda P4'!$S$3:$S$501,"=35")</f>
        <v>0</v>
      </c>
      <c r="U43" s="56">
        <f>SUMIFS('[1]Unos rashoda i izdataka'!$L$3:$L$501,'[1]Unos rashoda i izdataka'!$C$3:$C$501,"=63",'[1]Unos rashoda i izdataka'!$P$3:$P$501,"=35")+SUMIFS('[1]Unos rashoda P4'!$J$3:$J$501,'[1]Unos rashoda P4'!$A$3:$A$501,"=63",'[1]Unos rashoda P4'!$S$3:$S$501,"=35")</f>
        <v>0</v>
      </c>
      <c r="V43" s="56">
        <f>SUMIFS('[1]Unos rashoda i izdataka'!$L$3:$L$501,'[1]Unos rashoda i izdataka'!$C$3:$C$501,"=71",'[1]Unos rashoda i izdataka'!$P$3:$P$501,"=35")+SUMIFS('[1]Unos rashoda P4'!$J$3:$J$501,'[1]Unos rashoda P4'!$A$3:$A$501,"=71",'[1]Unos rashoda P4'!$S$3:$S$501,"=35")</f>
        <v>0</v>
      </c>
      <c r="W43" s="56">
        <f>SUMIFS('[1]Unos rashoda i izdataka'!$L$3:$L$501,'[1]Unos rashoda i izdataka'!$C$3:$C$501,"=81",'[1]Unos rashoda i izdataka'!$P$3:$P$501,"=35")+SUMIFS('[1]Unos rashoda P4'!$J$3:$J$501,'[1]Unos rashoda P4'!$A$3:$A$501,"=81",'[1]Unos rashoda P4'!$S$3:$S$501,"=35")</f>
        <v>0</v>
      </c>
    </row>
    <row r="44" spans="1:23" x14ac:dyDescent="0.25">
      <c r="A44" s="47">
        <v>2025</v>
      </c>
      <c r="B44" s="57">
        <v>36</v>
      </c>
      <c r="C44" s="60" t="s">
        <v>138</v>
      </c>
      <c r="D44" s="59">
        <f t="shared" si="17"/>
        <v>356379</v>
      </c>
      <c r="E44" s="56">
        <v>142446</v>
      </c>
      <c r="F44" s="56">
        <f>SUMIFS('[1]Unos rashoda i izdataka'!$L$3:$L$501,'[1]Unos rashoda i izdataka'!$C$3:$C$501,"=12",'[1]Unos rashoda i izdataka'!$P$3:$P$501,"=36")+SUMIFS('[1]Unos rashoda P4'!$J$3:$J$501,'[1]Unos rashoda P4'!$A$3:$A$501,"=12",'[1]Unos rashoda P4'!$S$3:$S$501,"=36")</f>
        <v>0</v>
      </c>
      <c r="G44" s="56">
        <f>SUMIFS('[1]Unos rashoda i izdataka'!$L$3:$L$501,'[1]Unos rashoda i izdataka'!$C$3:$C$501,"=31",'[1]Unos rashoda i izdataka'!$P$3:$P$501,"=36")+SUMIFS('[1]Unos rashoda P4'!$J$3:$J$501,'[1]Unos rashoda P4'!$A$3:$A$501,"=31",'[1]Unos rashoda P4'!$S$3:$S$501,"=36")</f>
        <v>0</v>
      </c>
      <c r="H44" s="56">
        <f>SUMIFS('[1]Unos rashoda i izdataka'!$L$3:$L$501,'[1]Unos rashoda i izdataka'!$C$3:$C$501,"=41",'[1]Unos rashoda i izdataka'!$P$3:$P$501,"=36")+SUMIFS('[1]Unos rashoda P4'!$J$3:$J$501,'[1]Unos rashoda P4'!$A$3:$A$501,"=41",'[1]Unos rashoda P4'!$S$3:$S$501,"=36")</f>
        <v>0</v>
      </c>
      <c r="I44" s="56">
        <f>SUMIFS('[1]Unos rashoda i izdataka'!$L$3:$L$501,'[1]Unos rashoda i izdataka'!$C$3:$C$501,"=43",'[1]Unos rashoda i izdataka'!$P$3:$P$501,"=36")+SUMIFS('[1]Unos rashoda P4'!$J$3:$J$501,'[1]Unos rashoda P4'!$A$3:$A$501,"=43",'[1]Unos rashoda P4'!$S$3:$S$501,"=36")</f>
        <v>87177</v>
      </c>
      <c r="J44" s="56">
        <f>SUMIFS('[1]Unos rashoda i izdataka'!$L$3:$L$501,'[1]Unos rashoda i izdataka'!$C$3:$C$501,"=51",'[1]Unos rashoda i izdataka'!$P$3:$P$501,"=36")+SUMIFS('[1]Unos rashoda P4'!$J$3:$J$501,'[1]Unos rashoda P4'!$A$3:$A$501,"=51",'[1]Unos rashoda P4'!$S$3:$S$501,"=36")</f>
        <v>0</v>
      </c>
      <c r="K44" s="56">
        <f>SUMIFS('[1]Unos rashoda i izdataka'!$L$3:$L$501,'[1]Unos rashoda i izdataka'!$C$3:$C$501,"=52",'[1]Unos rashoda i izdataka'!$P$3:$P$501,"=36")+SUMIFS('[1]Unos rashoda P4'!$J$3:$J$501,'[1]Unos rashoda P4'!$A$3:$A$501,"=52",'[1]Unos rashoda P4'!$S$3:$S$501,"=36")</f>
        <v>126756</v>
      </c>
      <c r="L44" s="56">
        <f>SUMIFS('[1]Unos rashoda i izdataka'!$L$3:$L$501,'[1]Unos rashoda i izdataka'!$C$3:$C$501,"=552",'[1]Unos rashoda i izdataka'!$P$3:$P$501,"=36")+SUMIFS('[1]Unos rashoda P4'!$J$3:$J$501,'[1]Unos rashoda P4'!$A$3:$A$501,"=552",'[1]Unos rashoda P4'!$S$3:$S$501,"=36")</f>
        <v>0</v>
      </c>
      <c r="M44" s="56">
        <f>SUMIFS('[1]Unos rashoda i izdataka'!$L$3:$L$501,'[1]Unos rashoda i izdataka'!$C$3:$C$501,"=559",'[1]Unos rashoda i izdataka'!$P$3:$P$501,"=36")+SUMIFS('[1]Unos rashoda P4'!$J$3:$J$501,'[1]Unos rashoda P4'!$A$3:$A$501,"=559",'[1]Unos rashoda P4'!$S$3:$S$501,"=36")</f>
        <v>0</v>
      </c>
      <c r="N44" s="56">
        <f>SUMIFS('[1]Unos rashoda i izdataka'!$L$3:$L$501,'[1]Unos rashoda i izdataka'!$C$3:$C$501,"=561",'[1]Unos rashoda i izdataka'!$P$3:$P$501,"=36")+SUMIFS('[1]Unos rashoda P4'!$J$3:$J$501,'[1]Unos rashoda P4'!$A$3:$A$501,"=561",'[1]Unos rashoda P4'!$S$3:$S$501,"=36")</f>
        <v>0</v>
      </c>
      <c r="O44" s="56">
        <f>SUMIFS('[1]Unos rashoda i izdataka'!$L$3:$L$501,'[1]Unos rashoda i izdataka'!$C$3:$C$501,"=563",'[1]Unos rashoda i izdataka'!$P$3:$P$501,"=36")+SUMIFS('[1]Unos rashoda P4'!$J$3:$J$501,'[1]Unos rashoda P4'!$A$3:$A$501,"=563",'[1]Unos rashoda P4'!$S$3:$S$501,"=36")</f>
        <v>0</v>
      </c>
      <c r="P44" s="56">
        <f>SUMIFS('[1]Unos rashoda i izdataka'!$L$3:$L$501,'[1]Unos rashoda i izdataka'!$C$3:$C$501,"=573",'[1]Unos rashoda i izdataka'!$P$3:$P$501,"=36")+SUMIFS('[1]Unos rashoda P4'!$J$3:$J$501,'[1]Unos rashoda P4'!$A$3:$A$501,"=573",'[1]Unos rashoda P4'!$S$3:$S$501,"=36")</f>
        <v>0</v>
      </c>
      <c r="Q44" s="56">
        <f>SUMIFS('[1]Unos rashoda i izdataka'!$L$3:$L$501,'[1]Unos rashoda i izdataka'!$C$3:$C$501,"=575",'[1]Unos rashoda i izdataka'!$P$3:$P$501,"=36")+SUMIFS('[1]Unos rashoda P4'!$J$3:$J$501,'[1]Unos rashoda P4'!$A$3:$A$501,"=575",'[1]Unos rashoda P4'!$S$3:$S$501,"=36")</f>
        <v>0</v>
      </c>
      <c r="R44" s="56">
        <f>SUMIFS('[1]Unos rashoda i izdataka'!$L$3:$L$501,'[1]Unos rashoda i izdataka'!$Q$3:$Q$501,"=576",'[1]Unos rashoda i izdataka'!$P$3:$P$501,"=36")+SUMIFS('[1]Unos rashoda P4'!$J$3:$J$501,'[1]Unos rashoda P4'!$A$3:$A$501,"=576",'[1]Unos rashoda P4'!$S$3:$S$501,"=36")</f>
        <v>0</v>
      </c>
      <c r="S44" s="56">
        <f>SUMIFS('[1]Unos rashoda i izdataka'!$L$3:$L$501,'[1]Unos rashoda i izdataka'!$C$3:$C$501,"=581",'[1]Unos rashoda i izdataka'!$P$3:$P$501,"=36")+SUMIFS('[1]Unos rashoda P4'!$J$3:$J$501,'[1]Unos rashoda P4'!$A$3:$A$501,"=581",'[1]Unos rashoda P4'!$S$3:$S$501,"=36")</f>
        <v>0</v>
      </c>
      <c r="T44" s="56">
        <f>SUMIFS('[1]Unos rashoda i izdataka'!$L$3:$L$501,'[1]Unos rashoda i izdataka'!$C$3:$C$501,"=61",'[1]Unos rashoda i izdataka'!$P$3:$P$501,"=36")+SUMIFS('[1]Unos rashoda P4'!$J$3:$J$501,'[1]Unos rashoda P4'!$A$3:$A$501,"=61",'[1]Unos rashoda P4'!$S$3:$S$501,"=36")</f>
        <v>0</v>
      </c>
      <c r="U44" s="56">
        <f>SUMIFS('[1]Unos rashoda i izdataka'!$L$3:$L$501,'[1]Unos rashoda i izdataka'!$C$3:$C$501,"=63",'[1]Unos rashoda i izdataka'!$P$3:$P$501,"=36")+SUMIFS('[1]Unos rashoda P4'!$J$3:$J$501,'[1]Unos rashoda P4'!$A$3:$A$501,"=63",'[1]Unos rashoda P4'!$S$3:$S$501,"=36")</f>
        <v>0</v>
      </c>
      <c r="V44" s="56">
        <f>SUMIFS('[1]Unos rashoda i izdataka'!$L$3:$L$501,'[1]Unos rashoda i izdataka'!$C$3:$C$501,"=71",'[1]Unos rashoda i izdataka'!$P$3:$P$501,"=36")+SUMIFS('[1]Unos rashoda P4'!$J$3:$J$501,'[1]Unos rashoda P4'!$A$3:$A$501,"=71",'[1]Unos rashoda P4'!$S$3:$S$501,"=36")</f>
        <v>0</v>
      </c>
      <c r="W44" s="56">
        <f>SUMIFS('[1]Unos rashoda i izdataka'!$L$3:$L$501,'[1]Unos rashoda i izdataka'!$C$3:$C$501,"=81",'[1]Unos rashoda i izdataka'!$P$3:$P$501,"=36")+SUMIFS('[1]Unos rashoda P4'!$J$3:$J$501,'[1]Unos rashoda P4'!$A$3:$A$501,"=81",'[1]Unos rashoda P4'!$S$3:$S$501,"=36")</f>
        <v>0</v>
      </c>
    </row>
    <row r="45" spans="1:23" x14ac:dyDescent="0.25">
      <c r="A45" s="47">
        <v>2025</v>
      </c>
      <c r="B45" s="57">
        <v>37</v>
      </c>
      <c r="C45" s="58" t="s">
        <v>139</v>
      </c>
      <c r="D45" s="59">
        <f t="shared" si="17"/>
        <v>21965</v>
      </c>
      <c r="E45" s="56">
        <f>SUMIFS('[1]Unos rashoda i izdataka'!$L$3:$L$501,'[1]Unos rashoda i izdataka'!$C$3:$C$501,"=11",'[1]Unos rashoda i izdataka'!$P$3:$P$501,"=37")+SUMIFS('[1]Unos rashoda P4'!$J$3:$J$501,'[1]Unos rashoda P4'!$A$3:$A$501,"=11",'[1]Unos rashoda P4'!$S$3:$S$501,"=37")</f>
        <v>0</v>
      </c>
      <c r="F45" s="56">
        <f>SUMIFS('[1]Unos rashoda i izdataka'!$L$3:$L$501,'[1]Unos rashoda i izdataka'!$C$3:$C$501,"=12",'[1]Unos rashoda i izdataka'!$P$3:$P$501,"=37")+SUMIFS('[1]Unos rashoda P4'!$J$3:$J$501,'[1]Unos rashoda P4'!$A$3:$A$501,"=12",'[1]Unos rashoda P4'!$S$3:$S$501,"=37")</f>
        <v>0</v>
      </c>
      <c r="G45" s="56">
        <f>SUMIFS('[1]Unos rashoda i izdataka'!$L$3:$L$501,'[1]Unos rashoda i izdataka'!$C$3:$C$501,"=31",'[1]Unos rashoda i izdataka'!$P$3:$P$501,"=37")+SUMIFS('[1]Unos rashoda P4'!$J$3:$J$501,'[1]Unos rashoda P4'!$A$3:$A$501,"=31",'[1]Unos rashoda P4'!$S$3:$S$501,"=37")</f>
        <v>0</v>
      </c>
      <c r="H45" s="56">
        <f>SUMIFS('[1]Unos rashoda i izdataka'!$L$3:$L$501,'[1]Unos rashoda i izdataka'!$C$3:$C$501,"=41",'[1]Unos rashoda i izdataka'!$P$3:$P$501,"=37")+SUMIFS('[1]Unos rashoda P4'!$J$3:$J$501,'[1]Unos rashoda P4'!$A$3:$A$501,"=41",'[1]Unos rashoda P4'!$S$3:$S$501,"=37")</f>
        <v>0</v>
      </c>
      <c r="I45" s="56">
        <f>SUMIFS('[1]Unos rashoda i izdataka'!$L$3:$L$501,'[1]Unos rashoda i izdataka'!$C$3:$C$501,"=43",'[1]Unos rashoda i izdataka'!$P$3:$P$501,"=37")+SUMIFS('[1]Unos rashoda P4'!$J$3:$J$501,'[1]Unos rashoda P4'!$A$3:$A$501,"=43",'[1]Unos rashoda P4'!$S$3:$S$501,"=37")</f>
        <v>1990</v>
      </c>
      <c r="J45" s="56">
        <f>SUMIFS('[1]Unos rashoda i izdataka'!$L$3:$L$501,'[1]Unos rashoda i izdataka'!$C$3:$C$501,"=51",'[1]Unos rashoda i izdataka'!$P$3:$P$501,"=37")+SUMIFS('[1]Unos rashoda P4'!$J$3:$J$501,'[1]Unos rashoda P4'!$A$3:$A$501,"=51",'[1]Unos rashoda P4'!$S$3:$S$501,"=37")</f>
        <v>0</v>
      </c>
      <c r="K45" s="56">
        <f>SUMIFS('[1]Unos rashoda i izdataka'!$L$3:$L$501,'[1]Unos rashoda i izdataka'!$C$3:$C$501,"=52",'[1]Unos rashoda i izdataka'!$P$3:$P$501,"=37")+SUMIFS('[1]Unos rashoda P4'!$J$3:$J$501,'[1]Unos rashoda P4'!$A$3:$A$501,"=52",'[1]Unos rashoda P4'!$S$3:$S$501,"=37")</f>
        <v>19975</v>
      </c>
      <c r="L45" s="56">
        <f>SUMIFS('[1]Unos rashoda i izdataka'!$L$3:$L$501,'[1]Unos rashoda i izdataka'!$C$3:$C$501,"=552",'[1]Unos rashoda i izdataka'!$P$3:$P$501,"=37")+SUMIFS('[1]Unos rashoda P4'!$J$3:$J$501,'[1]Unos rashoda P4'!$A$3:$A$501,"=552",'[1]Unos rashoda P4'!$S$3:$S$501,"=37")</f>
        <v>0</v>
      </c>
      <c r="M45" s="56">
        <f>SUMIFS('[1]Unos rashoda i izdataka'!$L$3:$L$501,'[1]Unos rashoda i izdataka'!$C$3:$C$501,"=559",'[1]Unos rashoda i izdataka'!$P$3:$P$501,"=37")+SUMIFS('[1]Unos rashoda P4'!$J$3:$J$501,'[1]Unos rashoda P4'!$A$3:$A$501,"=559",'[1]Unos rashoda P4'!$S$3:$S$501,"=37")</f>
        <v>0</v>
      </c>
      <c r="N45" s="56">
        <f>SUMIFS('[1]Unos rashoda i izdataka'!$L$3:$L$501,'[1]Unos rashoda i izdataka'!$C$3:$C$501,"=561",'[1]Unos rashoda i izdataka'!$P$3:$P$501,"=37")+SUMIFS('[1]Unos rashoda P4'!$J$3:$J$501,'[1]Unos rashoda P4'!$A$3:$A$501,"=561",'[1]Unos rashoda P4'!$S$3:$S$501,"=37")</f>
        <v>0</v>
      </c>
      <c r="O45" s="56">
        <f>SUMIFS('[1]Unos rashoda i izdataka'!$L$3:$L$501,'[1]Unos rashoda i izdataka'!$C$3:$C$501,"=563",'[1]Unos rashoda i izdataka'!$P$3:$P$501,"=37")+SUMIFS('[1]Unos rashoda P4'!$J$3:$J$501,'[1]Unos rashoda P4'!$A$3:$A$501,"=563",'[1]Unos rashoda P4'!$S$3:$S$501,"=37")</f>
        <v>0</v>
      </c>
      <c r="P45" s="56">
        <f>SUMIFS('[1]Unos rashoda i izdataka'!$L$3:$L$501,'[1]Unos rashoda i izdataka'!$C$3:$C$501,"=573",'[1]Unos rashoda i izdataka'!$P$3:$P$501,"=37")+SUMIFS('[1]Unos rashoda P4'!$J$3:$J$501,'[1]Unos rashoda P4'!$A$3:$A$501,"=573",'[1]Unos rashoda P4'!$S$3:$S$501,"=37")</f>
        <v>0</v>
      </c>
      <c r="Q45" s="56">
        <f>SUMIFS('[1]Unos rashoda i izdataka'!$L$3:$L$501,'[1]Unos rashoda i izdataka'!$C$3:$C$501,"=575",'[1]Unos rashoda i izdataka'!$P$3:$P$501,"=37")+SUMIFS('[1]Unos rashoda P4'!$J$3:$J$501,'[1]Unos rashoda P4'!$A$3:$A$501,"=575",'[1]Unos rashoda P4'!$S$3:$S$501,"=37")</f>
        <v>0</v>
      </c>
      <c r="R45" s="56">
        <f>SUMIFS('[1]Unos rashoda i izdataka'!$L$3:$L$501,'[1]Unos rashoda i izdataka'!$Q$3:$Q$501,"=576",'[1]Unos rashoda i izdataka'!$P$3:$P$501,"=37")+SUMIFS('[1]Unos rashoda P4'!$J$3:$J$501,'[1]Unos rashoda P4'!$A$3:$A$501,"=576",'[1]Unos rashoda P4'!$S$3:$S$501,"=37")</f>
        <v>0</v>
      </c>
      <c r="S45" s="56">
        <f>SUMIFS('[1]Unos rashoda i izdataka'!$L$3:$L$501,'[1]Unos rashoda i izdataka'!$C$3:$C$501,"=581",'[1]Unos rashoda i izdataka'!$P$3:$P$501,"=37")+SUMIFS('[1]Unos rashoda P4'!$J$3:$J$501,'[1]Unos rashoda P4'!$A$3:$A$501,"=581",'[1]Unos rashoda P4'!$S$3:$S$501,"=37")</f>
        <v>0</v>
      </c>
      <c r="T45" s="56">
        <f>SUMIFS('[1]Unos rashoda i izdataka'!$L$3:$L$501,'[1]Unos rashoda i izdataka'!$C$3:$C$501,"=61",'[1]Unos rashoda i izdataka'!$P$3:$P$501,"=37")+SUMIFS('[1]Unos rashoda P4'!$J$3:$J$501,'[1]Unos rashoda P4'!$A$3:$A$501,"=61",'[1]Unos rashoda P4'!$S$3:$S$501,"=37")</f>
        <v>0</v>
      </c>
      <c r="U45" s="56">
        <f>SUMIFS('[1]Unos rashoda i izdataka'!$L$3:$L$501,'[1]Unos rashoda i izdataka'!$C$3:$C$501,"=63",'[1]Unos rashoda i izdataka'!$P$3:$P$501,"=37")+SUMIFS('[1]Unos rashoda P4'!$J$3:$J$501,'[1]Unos rashoda P4'!$A$3:$A$501,"=63",'[1]Unos rashoda P4'!$S$3:$S$501,"=37")</f>
        <v>0</v>
      </c>
      <c r="V45" s="56">
        <f>SUMIFS('[1]Unos rashoda i izdataka'!$L$3:$L$501,'[1]Unos rashoda i izdataka'!$C$3:$C$501,"=71",'[1]Unos rashoda i izdataka'!$P$3:$P$501,"=37")+SUMIFS('[1]Unos rashoda P4'!$J$3:$J$501,'[1]Unos rashoda P4'!$A$3:$A$501,"=71",'[1]Unos rashoda P4'!$S$3:$S$501,"=37")</f>
        <v>0</v>
      </c>
      <c r="W45" s="56">
        <f>SUMIFS('[1]Unos rashoda i izdataka'!$L$3:$L$501,'[1]Unos rashoda i izdataka'!$C$3:$C$501,"=81",'[1]Unos rashoda i izdataka'!$P$3:$P$501,"=37")+SUMIFS('[1]Unos rashoda P4'!$J$3:$J$501,'[1]Unos rashoda P4'!$A$3:$A$501,"=81",'[1]Unos rashoda P4'!$S$3:$S$501,"=37")</f>
        <v>0</v>
      </c>
    </row>
    <row r="46" spans="1:23" x14ac:dyDescent="0.25">
      <c r="A46" s="47">
        <v>2025</v>
      </c>
      <c r="B46" s="57">
        <v>38</v>
      </c>
      <c r="C46" s="58" t="s">
        <v>140</v>
      </c>
      <c r="D46" s="59">
        <f t="shared" si="17"/>
        <v>471268</v>
      </c>
      <c r="E46" s="56">
        <v>41268</v>
      </c>
      <c r="F46" s="56">
        <f>SUMIFS('[1]Unos rashoda i izdataka'!$L$3:$L$501,'[1]Unos rashoda i izdataka'!$C$3:$C$501,"=12",'[1]Unos rashoda i izdataka'!$P$3:$P$501,"=38")+SUMIFS('[1]Unos rashoda P4'!$J$3:$J$501,'[1]Unos rashoda P4'!$A$3:$A$501,"=12",'[1]Unos rashoda P4'!$S$3:$S$501,"=38")</f>
        <v>0</v>
      </c>
      <c r="G46" s="56">
        <f>SUMIFS('[1]Unos rashoda i izdataka'!$L$3:$L$501,'[1]Unos rashoda i izdataka'!$C$3:$C$501,"=31",'[1]Unos rashoda i izdataka'!$P$3:$P$501,"=38")+SUMIFS('[1]Unos rashoda P4'!$J$3:$J$501,'[1]Unos rashoda P4'!$A$3:$A$501,"=31",'[1]Unos rashoda P4'!$S$3:$S$501,"=38")</f>
        <v>0</v>
      </c>
      <c r="H46" s="56">
        <f>SUMIFS('[1]Unos rashoda i izdataka'!$L$3:$L$501,'[1]Unos rashoda i izdataka'!$C$3:$C$501,"=41",'[1]Unos rashoda i izdataka'!$P$3:$P$501,"=38")+SUMIFS('[1]Unos rashoda P4'!$J$3:$J$501,'[1]Unos rashoda P4'!$A$3:$A$501,"=41",'[1]Unos rashoda P4'!$S$3:$S$501,"=38")</f>
        <v>0</v>
      </c>
      <c r="I46" s="56">
        <f>SUMIFS('[1]Unos rashoda i izdataka'!$L$3:$L$501,'[1]Unos rashoda i izdataka'!$C$3:$C$501,"=43",'[1]Unos rashoda i izdataka'!$P$3:$P$501,"=38")+SUMIFS('[1]Unos rashoda P4'!$J$3:$J$501,'[1]Unos rashoda P4'!$A$3:$A$501,"=43",'[1]Unos rashoda P4'!$S$3:$S$501,"=38")</f>
        <v>430000</v>
      </c>
      <c r="J46" s="56">
        <f>SUMIFS('[1]Unos rashoda i izdataka'!$L$3:$L$501,'[1]Unos rashoda i izdataka'!$C$3:$C$501,"=51",'[1]Unos rashoda i izdataka'!$P$3:$P$501,"=38")+SUMIFS('[1]Unos rashoda P4'!$J$3:$J$501,'[1]Unos rashoda P4'!$A$3:$A$501,"=51",'[1]Unos rashoda P4'!$S$3:$S$501,"=38")</f>
        <v>0</v>
      </c>
      <c r="K46" s="56">
        <f>SUMIFS('[1]Unos rashoda i izdataka'!$L$3:$L$501,'[1]Unos rashoda i izdataka'!$C$3:$C$501,"=52",'[1]Unos rashoda i izdataka'!$P$3:$P$501,"=38")+SUMIFS('[1]Unos rashoda P4'!$J$3:$J$501,'[1]Unos rashoda P4'!$A$3:$A$501,"=52",'[1]Unos rashoda P4'!$S$3:$S$501,"=38")</f>
        <v>0</v>
      </c>
      <c r="L46" s="56">
        <f>SUMIFS('[1]Unos rashoda i izdataka'!$L$3:$L$501,'[1]Unos rashoda i izdataka'!$C$3:$C$501,"=552",'[1]Unos rashoda i izdataka'!$P$3:$P$501,"=38")+SUMIFS('[1]Unos rashoda P4'!$J$3:$J$501,'[1]Unos rashoda P4'!$A$3:$A$501,"=552",'[1]Unos rashoda P4'!$S$3:$S$501,"=38")</f>
        <v>0</v>
      </c>
      <c r="M46" s="56">
        <f>SUMIFS('[1]Unos rashoda i izdataka'!$L$3:$L$501,'[1]Unos rashoda i izdataka'!$C$3:$C$501,"=559",'[1]Unos rashoda i izdataka'!$P$3:$P$501,"=38")+SUMIFS('[1]Unos rashoda P4'!$J$3:$J$501,'[1]Unos rashoda P4'!$A$3:$A$501,"=559",'[1]Unos rashoda P4'!$S$3:$S$501,"=38")</f>
        <v>0</v>
      </c>
      <c r="N46" s="56">
        <f>SUMIFS('[1]Unos rashoda i izdataka'!$L$3:$L$501,'[1]Unos rashoda i izdataka'!$C$3:$C$501,"=561",'[1]Unos rashoda i izdataka'!$P$3:$P$501,"=38")+SUMIFS('[1]Unos rashoda P4'!$J$3:$J$501,'[1]Unos rashoda P4'!$A$3:$A$501,"=561",'[1]Unos rashoda P4'!$S$3:$S$501,"=38")</f>
        <v>0</v>
      </c>
      <c r="O46" s="56">
        <f>SUMIFS('[1]Unos rashoda i izdataka'!$L$3:$L$501,'[1]Unos rashoda i izdataka'!$C$3:$C$501,"=563",'[1]Unos rashoda i izdataka'!$P$3:$P$501,"=38")+SUMIFS('[1]Unos rashoda P4'!$J$3:$J$501,'[1]Unos rashoda P4'!$A$3:$A$501,"=563",'[1]Unos rashoda P4'!$S$3:$S$501,"=38")</f>
        <v>0</v>
      </c>
      <c r="P46" s="56">
        <f>SUMIFS('[1]Unos rashoda i izdataka'!$L$3:$L$501,'[1]Unos rashoda i izdataka'!$C$3:$C$501,"=573",'[1]Unos rashoda i izdataka'!$P$3:$P$501,"=38")+SUMIFS('[1]Unos rashoda P4'!$J$3:$J$501,'[1]Unos rashoda P4'!$A$3:$A$501,"=573",'[1]Unos rashoda P4'!$S$3:$S$501,"=38")</f>
        <v>0</v>
      </c>
      <c r="Q46" s="56">
        <f>SUMIFS('[1]Unos rashoda i izdataka'!$L$3:$L$501,'[1]Unos rashoda i izdataka'!$C$3:$C$501,"=575",'[1]Unos rashoda i izdataka'!$P$3:$P$501,"=38")+SUMIFS('[1]Unos rashoda P4'!$J$3:$J$501,'[1]Unos rashoda P4'!$A$3:$A$501,"=575",'[1]Unos rashoda P4'!$S$3:$S$501,"=38")</f>
        <v>0</v>
      </c>
      <c r="R46" s="56">
        <f>SUMIFS('[1]Unos rashoda i izdataka'!$L$3:$L$501,'[1]Unos rashoda i izdataka'!$Q$3:$Q$501,"=576",'[1]Unos rashoda i izdataka'!$P$3:$P$501,"=38")+SUMIFS('[1]Unos rashoda P4'!$J$3:$J$501,'[1]Unos rashoda P4'!$A$3:$A$501,"=576",'[1]Unos rashoda P4'!$S$3:$S$501,"=38")</f>
        <v>0</v>
      </c>
      <c r="S46" s="56">
        <f>SUMIFS('[1]Unos rashoda i izdataka'!$L$3:$L$501,'[1]Unos rashoda i izdataka'!$C$3:$C$501,"=581",'[1]Unos rashoda i izdataka'!$P$3:$P$501,"=38")+SUMIFS('[1]Unos rashoda P4'!$J$3:$J$501,'[1]Unos rashoda P4'!$A$3:$A$501,"=581",'[1]Unos rashoda P4'!$S$3:$S$501,"=38")</f>
        <v>0</v>
      </c>
      <c r="T46" s="56">
        <f>SUMIFS('[1]Unos rashoda i izdataka'!$L$3:$L$501,'[1]Unos rashoda i izdataka'!$C$3:$C$501,"=61",'[1]Unos rashoda i izdataka'!$P$3:$P$501,"=38")+SUMIFS('[1]Unos rashoda P4'!$J$3:$J$501,'[1]Unos rashoda P4'!$A$3:$A$501,"=61",'[1]Unos rashoda P4'!$S$3:$S$501,"=38")</f>
        <v>0</v>
      </c>
      <c r="U46" s="56">
        <f>SUMIFS('[1]Unos rashoda i izdataka'!$L$3:$L$501,'[1]Unos rashoda i izdataka'!$C$3:$C$501,"=63",'[1]Unos rashoda i izdataka'!$P$3:$P$501,"=38")+SUMIFS('[1]Unos rashoda P4'!$J$3:$J$501,'[1]Unos rashoda P4'!$A$3:$A$501,"=63",'[1]Unos rashoda P4'!$S$3:$S$501,"=38")</f>
        <v>0</v>
      </c>
      <c r="V46" s="56">
        <f>SUMIFS('[1]Unos rashoda i izdataka'!$L$3:$L$501,'[1]Unos rashoda i izdataka'!$C$3:$C$501,"=71",'[1]Unos rashoda i izdataka'!$P$3:$P$501,"=38")+SUMIFS('[1]Unos rashoda P4'!$J$3:$J$501,'[1]Unos rashoda P4'!$A$3:$A$501,"=71",'[1]Unos rashoda P4'!$S$3:$S$501,"=38")</f>
        <v>0</v>
      </c>
      <c r="W46" s="56">
        <f>SUMIFS('[1]Unos rashoda i izdataka'!$L$3:$L$501,'[1]Unos rashoda i izdataka'!$C$3:$C$501,"=81",'[1]Unos rashoda i izdataka'!$P$3:$P$501,"=38")+SUMIFS('[1]Unos rashoda P4'!$J$3:$J$501,'[1]Unos rashoda P4'!$A$3:$A$501,"=81",'[1]Unos rashoda P4'!$S$3:$S$501,"=38")</f>
        <v>0</v>
      </c>
    </row>
    <row r="47" spans="1:23" x14ac:dyDescent="0.25">
      <c r="A47" s="47">
        <v>2025</v>
      </c>
      <c r="B47" s="61">
        <v>4</v>
      </c>
      <c r="C47" s="62" t="s">
        <v>141</v>
      </c>
      <c r="D47" s="63">
        <f t="shared" si="17"/>
        <v>402380</v>
      </c>
      <c r="E47" s="64">
        <f t="shared" ref="E47:G47" si="23">SUM(E48:E52)</f>
        <v>55334</v>
      </c>
      <c r="F47" s="64">
        <f t="shared" si="23"/>
        <v>0</v>
      </c>
      <c r="G47" s="64">
        <f t="shared" si="23"/>
        <v>0</v>
      </c>
      <c r="H47" s="64">
        <f>SUM(H48:H52)</f>
        <v>0</v>
      </c>
      <c r="I47" s="64">
        <f t="shared" ref="I47:K47" si="24">SUM(I48:I52)</f>
        <v>345046</v>
      </c>
      <c r="J47" s="64">
        <f t="shared" si="24"/>
        <v>0</v>
      </c>
      <c r="K47" s="64">
        <f t="shared" si="24"/>
        <v>2000</v>
      </c>
      <c r="L47" s="64">
        <f>SUM(L48:L52)</f>
        <v>0</v>
      </c>
      <c r="M47" s="64">
        <f t="shared" ref="M47:O47" si="25">SUM(M48:M52)</f>
        <v>0</v>
      </c>
      <c r="N47" s="64">
        <f t="shared" si="25"/>
        <v>0</v>
      </c>
      <c r="O47" s="64">
        <f t="shared" si="25"/>
        <v>0</v>
      </c>
      <c r="P47" s="64">
        <f>SUM(P48:P52)</f>
        <v>0</v>
      </c>
      <c r="Q47" s="64">
        <f>SUM(Q48:Q52)</f>
        <v>0</v>
      </c>
      <c r="R47" s="64">
        <f>SUM(R48:R52)</f>
        <v>0</v>
      </c>
      <c r="S47" s="64">
        <f>SUM(S48:S52)</f>
        <v>0</v>
      </c>
      <c r="T47" s="64">
        <f t="shared" ref="T47:W47" si="26">SUM(T48:T52)</f>
        <v>0</v>
      </c>
      <c r="U47" s="64">
        <f t="shared" si="26"/>
        <v>0</v>
      </c>
      <c r="V47" s="64">
        <f t="shared" si="26"/>
        <v>0</v>
      </c>
      <c r="W47" s="64">
        <f t="shared" si="26"/>
        <v>0</v>
      </c>
    </row>
    <row r="48" spans="1:23" ht="25.5" x14ac:dyDescent="0.25">
      <c r="A48" s="47">
        <v>2025</v>
      </c>
      <c r="B48" s="53">
        <v>41</v>
      </c>
      <c r="C48" s="54" t="s">
        <v>142</v>
      </c>
      <c r="D48" s="59">
        <f t="shared" si="17"/>
        <v>39508</v>
      </c>
      <c r="E48" s="56">
        <v>32872</v>
      </c>
      <c r="F48" s="56">
        <f>SUMIFS('[1]Unos rashoda i izdataka'!$L$3:$L$501,'[1]Unos rashoda i izdataka'!$C$3:$C$501,"=12",'[1]Unos rashoda i izdataka'!$P$3:$P$501,"=41")+SUMIFS('[1]Unos rashoda P4'!$J$3:$J$501,'[1]Unos rashoda P4'!$A$3:$A$501,"=12",'[1]Unos rashoda P4'!$S$3:$S$501,"=41")</f>
        <v>0</v>
      </c>
      <c r="G48" s="56">
        <f>SUMIFS('[1]Unos rashoda i izdataka'!$L$3:$L$501,'[1]Unos rashoda i izdataka'!$C$3:$C$501,"=31",'[1]Unos rashoda i izdataka'!$P$3:$P$501,"=41")+SUMIFS('[1]Unos rashoda P4'!$J$3:$J$501,'[1]Unos rashoda P4'!$A$3:$A$501,"=31",'[1]Unos rashoda P4'!$S$3:$S$501,"=41")</f>
        <v>0</v>
      </c>
      <c r="H48" s="56">
        <f>SUMIFS('[1]Unos rashoda i izdataka'!$L$3:$L$501,'[1]Unos rashoda i izdataka'!$C$3:$C$501,"=41",'[1]Unos rashoda i izdataka'!$P$3:$P$501,"=41")+SUMIFS('[1]Unos rashoda P4'!$J$3:$J$501,'[1]Unos rashoda P4'!$A$3:$A$501,"=41",'[1]Unos rashoda P4'!$S$3:$S$501,"=41")</f>
        <v>0</v>
      </c>
      <c r="I48" s="56">
        <f>SUMIFS('[1]Unos rashoda i izdataka'!$L$3:$L$501,'[1]Unos rashoda i izdataka'!$C$3:$C$501,"=43",'[1]Unos rashoda i izdataka'!$P$3:$P$501,"=41")+SUMIFS('[1]Unos rashoda P4'!$J$3:$J$501,'[1]Unos rashoda P4'!$A$3:$A$501,"=43",'[1]Unos rashoda P4'!$S$3:$S$501,"=41")</f>
        <v>6636</v>
      </c>
      <c r="J48" s="56">
        <f>SUMIFS('[1]Unos rashoda i izdataka'!$L$3:$L$501,'[1]Unos rashoda i izdataka'!$C$3:$C$501,"=51",'[1]Unos rashoda i izdataka'!$P$3:$P$501,"=41")+SUMIFS('[1]Unos rashoda P4'!$J$3:$J$501,'[1]Unos rashoda P4'!$A$3:$A$501,"=51",'[1]Unos rashoda P4'!$S$3:$S$501,"=41")</f>
        <v>0</v>
      </c>
      <c r="K48" s="56">
        <f>SUMIFS('[1]Unos rashoda i izdataka'!$L$3:$L$501,'[1]Unos rashoda i izdataka'!$C$3:$C$501,"=52",'[1]Unos rashoda i izdataka'!$P$3:$P$501,"=41")+SUMIFS('[1]Unos rashoda P4'!$J$3:$J$501,'[1]Unos rashoda P4'!$A$3:$A$501,"=52",'[1]Unos rashoda P4'!$S$3:$S$501,"=41")</f>
        <v>0</v>
      </c>
      <c r="L48" s="56">
        <f>SUMIFS('[1]Unos rashoda i izdataka'!$L$3:$L$501,'[1]Unos rashoda i izdataka'!$C$3:$C$501,"=552",'[1]Unos rashoda i izdataka'!$P$3:$P$501,"=41")+SUMIFS('[1]Unos rashoda P4'!$J$3:$J$501,'[1]Unos rashoda P4'!$A$3:$A$501,"=552",'[1]Unos rashoda P4'!$S$3:$S$501,"=41")</f>
        <v>0</v>
      </c>
      <c r="M48" s="56">
        <f>SUMIFS('[1]Unos rashoda i izdataka'!$L$3:$L$501,'[1]Unos rashoda i izdataka'!$C$3:$C$501,"=559",'[1]Unos rashoda i izdataka'!$P$3:$P$501,"=41")+SUMIFS('[1]Unos rashoda P4'!$J$3:$J$501,'[1]Unos rashoda P4'!$A$3:$A$501,"=559",'[1]Unos rashoda P4'!$S$3:$S$501,"=41")</f>
        <v>0</v>
      </c>
      <c r="N48" s="56">
        <f>SUMIFS('[1]Unos rashoda i izdataka'!$L$3:$L$501,'[1]Unos rashoda i izdataka'!$C$3:$C$501,"=561",'[1]Unos rashoda i izdataka'!$P$3:$P$501,"=41")+SUMIFS('[1]Unos rashoda P4'!$J$3:$J$501,'[1]Unos rashoda P4'!$A$3:$A$501,"=561",'[1]Unos rashoda P4'!$S$3:$S$501,"=41")</f>
        <v>0</v>
      </c>
      <c r="O48" s="56">
        <f>SUMIFS('[1]Unos rashoda i izdataka'!$L$3:$L$501,'[1]Unos rashoda i izdataka'!$C$3:$C$501,"=563",'[1]Unos rashoda i izdataka'!$P$3:$P$501,"=41")+SUMIFS('[1]Unos rashoda P4'!$J$3:$J$501,'[1]Unos rashoda P4'!$A$3:$A$501,"=563",'[1]Unos rashoda P4'!$S$3:$S$501,"=41")</f>
        <v>0</v>
      </c>
      <c r="P48" s="56">
        <f>SUMIFS('[1]Unos rashoda i izdataka'!$L$3:$L$501,'[1]Unos rashoda i izdataka'!$C$3:$C$501,"=573",'[1]Unos rashoda i izdataka'!$P$3:$P$501,"=41")+SUMIFS('[1]Unos rashoda P4'!$J$3:$J$501,'[1]Unos rashoda P4'!$A$3:$A$501,"=573",'[1]Unos rashoda P4'!$S$3:$S$501,"=41")</f>
        <v>0</v>
      </c>
      <c r="Q48" s="56">
        <f>SUMIFS('[1]Unos rashoda i izdataka'!$L$3:$L$501,'[1]Unos rashoda i izdataka'!$C$3:$C$501,"=575",'[1]Unos rashoda i izdataka'!$P$3:$P$501,"=41")+SUMIFS('[1]Unos rashoda P4'!$J$3:$J$501,'[1]Unos rashoda P4'!$A$3:$A$501,"=575",'[1]Unos rashoda P4'!$S$3:$S$501,"=41")</f>
        <v>0</v>
      </c>
      <c r="R48" s="56">
        <f>SUMIFS('[1]Unos rashoda i izdataka'!$L$3:$L$501,'[1]Unos rashoda i izdataka'!$Q$3:$Q$501,"=576",'[1]Unos rashoda i izdataka'!$P$3:$P$501,"=41")+SUMIFS('[1]Unos rashoda P4'!$J$3:$J$501,'[1]Unos rashoda P4'!$A$3:$A$501,"=576",'[1]Unos rashoda P4'!$S$3:$S$501,"=41")</f>
        <v>0</v>
      </c>
      <c r="S48" s="56">
        <f>SUMIFS('[1]Unos rashoda i izdataka'!$L$3:$L$501,'[1]Unos rashoda i izdataka'!$C$3:$C$501,"=581",'[1]Unos rashoda i izdataka'!$P$3:$P$501,"=41")+SUMIFS('[1]Unos rashoda P4'!$J$3:$J$501,'[1]Unos rashoda P4'!$A$3:$A$501,"=581",'[1]Unos rashoda P4'!$S$3:$S$501,"=41")</f>
        <v>0</v>
      </c>
      <c r="T48" s="56">
        <f>SUMIFS('[1]Unos rashoda i izdataka'!$L$3:$L$501,'[1]Unos rashoda i izdataka'!$C$3:$C$501,"=61",'[1]Unos rashoda i izdataka'!$P$3:$P$501,"=41")+SUMIFS('[1]Unos rashoda P4'!$J$3:$J$501,'[1]Unos rashoda P4'!$A$3:$A$501,"=61",'[1]Unos rashoda P4'!$S$3:$S$501,"=41")</f>
        <v>0</v>
      </c>
      <c r="U48" s="56">
        <f>SUMIFS('[1]Unos rashoda i izdataka'!$L$3:$L$501,'[1]Unos rashoda i izdataka'!$C$3:$C$501,"=63",'[1]Unos rashoda i izdataka'!$P$3:$P$501,"=41")+SUMIFS('[1]Unos rashoda P4'!$J$3:$J$501,'[1]Unos rashoda P4'!$A$3:$A$501,"=63",'[1]Unos rashoda P4'!$S$3:$S$501,"=41")</f>
        <v>0</v>
      </c>
      <c r="V48" s="56">
        <f>SUMIFS('[1]Unos rashoda i izdataka'!$L$3:$L$501,'[1]Unos rashoda i izdataka'!$C$3:$C$501,"=71",'[1]Unos rashoda i izdataka'!$P$3:$P$501,"=41")+SUMIFS('[1]Unos rashoda P4'!$J$3:$J$501,'[1]Unos rashoda P4'!$A$3:$A$501,"=71",'[1]Unos rashoda P4'!$S$3:$S$501,"=41")</f>
        <v>0</v>
      </c>
      <c r="W48" s="56">
        <f>SUMIFS('[1]Unos rashoda i izdataka'!$L$3:$L$501,'[1]Unos rashoda i izdataka'!$C$3:$C$501,"=81",'[1]Unos rashoda i izdataka'!$P$3:$P$501,"=41")+SUMIFS('[1]Unos rashoda P4'!$J$3:$J$501,'[1]Unos rashoda P4'!$A$3:$A$501,"=81",'[1]Unos rashoda P4'!$S$3:$S$501,"=41")</f>
        <v>0</v>
      </c>
    </row>
    <row r="49" spans="1:23" x14ac:dyDescent="0.25">
      <c r="A49" s="47">
        <v>2025</v>
      </c>
      <c r="B49" s="57">
        <v>42</v>
      </c>
      <c r="C49" s="58" t="s">
        <v>143</v>
      </c>
      <c r="D49" s="59">
        <f t="shared" si="17"/>
        <v>94108</v>
      </c>
      <c r="E49" s="56">
        <v>22462</v>
      </c>
      <c r="F49" s="56">
        <f>SUMIFS('[1]Unos rashoda i izdataka'!$L$3:$L$501,'[1]Unos rashoda i izdataka'!$C$3:$C$501,"=12",'[1]Unos rashoda i izdataka'!$P$3:$P$501,"=42")+SUMIFS('[1]Unos rashoda P4'!$J$3:$J$501,'[1]Unos rashoda P4'!$A$3:$A$501,"=12",'[1]Unos rashoda P4'!$S$3:$S$501,"=42")</f>
        <v>0</v>
      </c>
      <c r="G49" s="56">
        <f>SUMIFS('[1]Unos rashoda i izdataka'!$L$3:$L$501,'[1]Unos rashoda i izdataka'!$C$3:$C$501,"=31",'[1]Unos rashoda i izdataka'!$P$3:$P$501,"=42")+SUMIFS('[1]Unos rashoda P4'!$J$3:$J$501,'[1]Unos rashoda P4'!$A$3:$A$501,"=31",'[1]Unos rashoda P4'!$S$3:$S$501,"=42")</f>
        <v>0</v>
      </c>
      <c r="H49" s="56">
        <f>SUMIFS('[1]Unos rashoda i izdataka'!$L$3:$L$501,'[1]Unos rashoda i izdataka'!$C$3:$C$501,"=41",'[1]Unos rashoda i izdataka'!$P$3:$P$501,"=42")+SUMIFS('[1]Unos rashoda P4'!$J$3:$J$501,'[1]Unos rashoda P4'!$A$3:$A$501,"=41",'[1]Unos rashoda P4'!$S$3:$S$501,"=42")</f>
        <v>0</v>
      </c>
      <c r="I49" s="56">
        <f>SUMIFS('[1]Unos rashoda i izdataka'!$L$3:$L$501,'[1]Unos rashoda i izdataka'!$C$3:$C$501,"=43",'[1]Unos rashoda i izdataka'!$P$3:$P$501,"=42")+SUMIFS('[1]Unos rashoda P4'!$J$3:$J$501,'[1]Unos rashoda P4'!$A$3:$A$501,"=43",'[1]Unos rashoda P4'!$S$3:$S$501,"=42")</f>
        <v>69646</v>
      </c>
      <c r="J49" s="56">
        <f>SUMIFS('[1]Unos rashoda i izdataka'!$L$3:$L$501,'[1]Unos rashoda i izdataka'!$C$3:$C$501,"=51",'[1]Unos rashoda i izdataka'!$P$3:$P$501,"=42")+SUMIFS('[1]Unos rashoda P4'!$J$3:$J$501,'[1]Unos rashoda P4'!$A$3:$A$501,"=51",'[1]Unos rashoda P4'!$S$3:$S$501,"=42")</f>
        <v>0</v>
      </c>
      <c r="K49" s="56">
        <f>SUMIFS('[1]Unos rashoda i izdataka'!$L$3:$L$501,'[1]Unos rashoda i izdataka'!$C$3:$C$501,"=52",'[1]Unos rashoda i izdataka'!$P$3:$P$501,"=42")+SUMIFS('[1]Unos rashoda P4'!$J$3:$J$501,'[1]Unos rashoda P4'!$A$3:$A$501,"=52",'[1]Unos rashoda P4'!$S$3:$S$501,"=42")</f>
        <v>2000</v>
      </c>
      <c r="L49" s="56">
        <f>SUMIFS('[1]Unos rashoda i izdataka'!$L$3:$L$501,'[1]Unos rashoda i izdataka'!$C$3:$C$501,"=552",'[1]Unos rashoda i izdataka'!$P$3:$P$501,"=42")+SUMIFS('[1]Unos rashoda P4'!$J$3:$J$501,'[1]Unos rashoda P4'!$A$3:$A$501,"=552",'[1]Unos rashoda P4'!$S$3:$S$501,"=42")</f>
        <v>0</v>
      </c>
      <c r="M49" s="56">
        <f>SUMIFS('[1]Unos rashoda i izdataka'!$L$3:$L$501,'[1]Unos rashoda i izdataka'!$C$3:$C$501,"=559",'[1]Unos rashoda i izdataka'!$P$3:$P$501,"=42")+SUMIFS('[1]Unos rashoda P4'!$J$3:$J$501,'[1]Unos rashoda P4'!$A$3:$A$501,"=559",'[1]Unos rashoda P4'!$S$3:$S$501,"=42")</f>
        <v>0</v>
      </c>
      <c r="N49" s="56">
        <f>SUMIFS('[1]Unos rashoda i izdataka'!$L$3:$L$501,'[1]Unos rashoda i izdataka'!$C$3:$C$501,"=561",'[1]Unos rashoda i izdataka'!$P$3:$P$501,"=42")+SUMIFS('[1]Unos rashoda P4'!$J$3:$J$501,'[1]Unos rashoda P4'!$A$3:$A$501,"=561",'[1]Unos rashoda P4'!$S$3:$S$501,"=42")</f>
        <v>0</v>
      </c>
      <c r="O49" s="56">
        <f>SUMIFS('[1]Unos rashoda i izdataka'!$L$3:$L$501,'[1]Unos rashoda i izdataka'!$C$3:$C$501,"=563",'[1]Unos rashoda i izdataka'!$P$3:$P$501,"=42")+SUMIFS('[1]Unos rashoda P4'!$J$3:$J$501,'[1]Unos rashoda P4'!$A$3:$A$501,"=563",'[1]Unos rashoda P4'!$S$3:$S$501,"=42")</f>
        <v>0</v>
      </c>
      <c r="P49" s="56">
        <f>SUMIFS('[1]Unos rashoda i izdataka'!$L$3:$L$501,'[1]Unos rashoda i izdataka'!$C$3:$C$501,"=573",'[1]Unos rashoda i izdataka'!$P$3:$P$501,"=42")+SUMIFS('[1]Unos rashoda P4'!$J$3:$J$501,'[1]Unos rashoda P4'!$A$3:$A$501,"=573",'[1]Unos rashoda P4'!$S$3:$S$501,"=42")</f>
        <v>0</v>
      </c>
      <c r="Q49" s="56">
        <f>SUMIFS('[1]Unos rashoda i izdataka'!$L$3:$L$501,'[1]Unos rashoda i izdataka'!$C$3:$C$501,"=575",'[1]Unos rashoda i izdataka'!$P$3:$P$501,"=42")+SUMIFS('[1]Unos rashoda P4'!$J$3:$J$501,'[1]Unos rashoda P4'!$A$3:$A$501,"=575",'[1]Unos rashoda P4'!$S$3:$S$501,"=42")</f>
        <v>0</v>
      </c>
      <c r="R49" s="56">
        <f>SUMIFS('[1]Unos rashoda i izdataka'!$L$3:$L$501,'[1]Unos rashoda i izdataka'!$Q$3:$Q$501,"=576",'[1]Unos rashoda i izdataka'!$P$3:$P$501,"=42")+SUMIFS('[1]Unos rashoda P4'!$J$3:$J$501,'[1]Unos rashoda P4'!$A$3:$A$501,"=576",'[1]Unos rashoda P4'!$S$3:$S$501,"=42")</f>
        <v>0</v>
      </c>
      <c r="S49" s="56">
        <f>SUMIFS('[1]Unos rashoda i izdataka'!$L$3:$L$501,'[1]Unos rashoda i izdataka'!$C$3:$C$501,"=581",'[1]Unos rashoda i izdataka'!$P$3:$P$501,"=42")+SUMIFS('[1]Unos rashoda P4'!$J$3:$J$501,'[1]Unos rashoda P4'!$A$3:$A$501,"=581",'[1]Unos rashoda P4'!$S$3:$S$501,"=42")</f>
        <v>0</v>
      </c>
      <c r="T49" s="56">
        <f>SUMIFS('[1]Unos rashoda i izdataka'!$L$3:$L$501,'[1]Unos rashoda i izdataka'!$C$3:$C$501,"=61",'[1]Unos rashoda i izdataka'!$P$3:$P$501,"=42")+SUMIFS('[1]Unos rashoda P4'!$J$3:$J$501,'[1]Unos rashoda P4'!$A$3:$A$501,"=61",'[1]Unos rashoda P4'!$S$3:$S$501,"=42")</f>
        <v>0</v>
      </c>
      <c r="U49" s="56">
        <f>SUMIFS('[1]Unos rashoda i izdataka'!$L$3:$L$501,'[1]Unos rashoda i izdataka'!$C$3:$C$501,"=63",'[1]Unos rashoda i izdataka'!$P$3:$P$501,"=42")+SUMIFS('[1]Unos rashoda P4'!$J$3:$J$501,'[1]Unos rashoda P4'!$A$3:$A$501,"=63",'[1]Unos rashoda P4'!$S$3:$S$501,"=42")</f>
        <v>0</v>
      </c>
      <c r="V49" s="56">
        <f>SUMIFS('[1]Unos rashoda i izdataka'!$L$3:$L$501,'[1]Unos rashoda i izdataka'!$C$3:$C$501,"=71",'[1]Unos rashoda i izdataka'!$P$3:$P$501,"=42")+SUMIFS('[1]Unos rashoda P4'!$J$3:$J$501,'[1]Unos rashoda P4'!$A$3:$A$501,"=71",'[1]Unos rashoda P4'!$S$3:$S$501,"=42")</f>
        <v>0</v>
      </c>
      <c r="W49" s="56">
        <f>SUMIFS('[1]Unos rashoda i izdataka'!$L$3:$L$501,'[1]Unos rashoda i izdataka'!$C$3:$C$501,"=81",'[1]Unos rashoda i izdataka'!$P$3:$P$501,"=42")+SUMIFS('[1]Unos rashoda P4'!$J$3:$J$501,'[1]Unos rashoda P4'!$A$3:$A$501,"=81",'[1]Unos rashoda P4'!$S$3:$S$501,"=42")</f>
        <v>0</v>
      </c>
    </row>
    <row r="50" spans="1:23" x14ac:dyDescent="0.25">
      <c r="A50" s="47">
        <v>2025</v>
      </c>
      <c r="B50" s="53">
        <v>43</v>
      </c>
      <c r="C50" s="54" t="s">
        <v>144</v>
      </c>
      <c r="D50" s="59">
        <f t="shared" si="17"/>
        <v>0</v>
      </c>
      <c r="E50" s="56">
        <f>SUMIFS('[1]Unos rashoda i izdataka'!$L$3:$L$501,'[1]Unos rashoda i izdataka'!$C$3:$C$501,"=11",'[1]Unos rashoda i izdataka'!$P$3:$P$501,"=43")+SUMIFS('[1]Unos rashoda P4'!$J$3:$J$501,'[1]Unos rashoda P4'!$A$3:$A$501,"=11",'[1]Unos rashoda P4'!$S$3:$S$501,"=43")</f>
        <v>0</v>
      </c>
      <c r="F50" s="56">
        <f>SUMIFS('[1]Unos rashoda i izdataka'!$L$3:$L$501,'[1]Unos rashoda i izdataka'!$C$3:$C$501,"=12",'[1]Unos rashoda i izdataka'!$P$3:$P$501,"=43")+SUMIFS('[1]Unos rashoda P4'!$J$3:$J$501,'[1]Unos rashoda P4'!$A$3:$A$501,"=12",'[1]Unos rashoda P4'!$S$3:$S$501,"=43")</f>
        <v>0</v>
      </c>
      <c r="G50" s="56">
        <f>SUMIFS('[1]Unos rashoda i izdataka'!$L$3:$L$501,'[1]Unos rashoda i izdataka'!$C$3:$C$501,"=31",'[1]Unos rashoda i izdataka'!$P$3:$P$501,"=43")+SUMIFS('[1]Unos rashoda P4'!$J$3:$J$501,'[1]Unos rashoda P4'!$A$3:$A$501,"=31",'[1]Unos rashoda P4'!$S$3:$S$501,"=43")</f>
        <v>0</v>
      </c>
      <c r="H50" s="56">
        <f>SUMIFS('[1]Unos rashoda i izdataka'!$L$3:$L$501,'[1]Unos rashoda i izdataka'!$C$3:$C$501,"=41",'[1]Unos rashoda i izdataka'!$P$3:$P$501,"=43")+SUMIFS('[1]Unos rashoda P4'!$J$3:$J$501,'[1]Unos rashoda P4'!$A$3:$A$501,"=41",'[1]Unos rashoda P4'!$S$3:$S$501,"=43")</f>
        <v>0</v>
      </c>
      <c r="I50" s="56">
        <f>SUMIFS('[1]Unos rashoda i izdataka'!$L$3:$L$501,'[1]Unos rashoda i izdataka'!$C$3:$C$501,"=43",'[1]Unos rashoda i izdataka'!$P$3:$P$501,"=43")+SUMIFS('[1]Unos rashoda P4'!$J$3:$J$501,'[1]Unos rashoda P4'!$A$3:$A$501,"=43",'[1]Unos rashoda P4'!$S$3:$S$501,"=43")</f>
        <v>0</v>
      </c>
      <c r="J50" s="56">
        <f>SUMIFS('[1]Unos rashoda i izdataka'!$L$3:$L$501,'[1]Unos rashoda i izdataka'!$C$3:$C$501,"=51",'[1]Unos rashoda i izdataka'!$P$3:$P$501,"=43")+SUMIFS('[1]Unos rashoda P4'!$J$3:$J$501,'[1]Unos rashoda P4'!$A$3:$A$501,"=51",'[1]Unos rashoda P4'!$S$3:$S$501,"=43")</f>
        <v>0</v>
      </c>
      <c r="K50" s="56">
        <f>SUMIFS('[1]Unos rashoda i izdataka'!$L$3:$L$501,'[1]Unos rashoda i izdataka'!$C$3:$C$501,"=52",'[1]Unos rashoda i izdataka'!$P$3:$P$501,"=43")+SUMIFS('[1]Unos rashoda P4'!$J$3:$J$501,'[1]Unos rashoda P4'!$A$3:$A$501,"=52",'[1]Unos rashoda P4'!$S$3:$S$501,"=43")</f>
        <v>0</v>
      </c>
      <c r="L50" s="56">
        <f>SUMIFS('[1]Unos rashoda i izdataka'!$L$3:$L$501,'[1]Unos rashoda i izdataka'!$C$3:$C$501,"=552",'[1]Unos rashoda i izdataka'!$P$3:$P$501,"=43")+SUMIFS('[1]Unos rashoda P4'!$J$3:$J$501,'[1]Unos rashoda P4'!$A$3:$A$501,"=552",'[1]Unos rashoda P4'!$S$3:$S$501,"=43")</f>
        <v>0</v>
      </c>
      <c r="M50" s="56">
        <f>SUMIFS('[1]Unos rashoda i izdataka'!$L$3:$L$501,'[1]Unos rashoda i izdataka'!$C$3:$C$501,"=559",'[1]Unos rashoda i izdataka'!$P$3:$P$501,"=43")+SUMIFS('[1]Unos rashoda P4'!$J$3:$J$501,'[1]Unos rashoda P4'!$A$3:$A$501,"=559",'[1]Unos rashoda P4'!$S$3:$S$501,"=43")</f>
        <v>0</v>
      </c>
      <c r="N50" s="56">
        <f>SUMIFS('[1]Unos rashoda i izdataka'!$L$3:$L$501,'[1]Unos rashoda i izdataka'!$C$3:$C$501,"=561",'[1]Unos rashoda i izdataka'!$P$3:$P$501,"=43")+SUMIFS('[1]Unos rashoda P4'!$J$3:$J$501,'[1]Unos rashoda P4'!$A$3:$A$501,"=561",'[1]Unos rashoda P4'!$S$3:$S$501,"=43")</f>
        <v>0</v>
      </c>
      <c r="O50" s="56">
        <f>SUMIFS('[1]Unos rashoda i izdataka'!$L$3:$L$501,'[1]Unos rashoda i izdataka'!$C$3:$C$501,"=563",'[1]Unos rashoda i izdataka'!$P$3:$P$501,"=43")+SUMIFS('[1]Unos rashoda P4'!$J$3:$J$501,'[1]Unos rashoda P4'!$A$3:$A$501,"=563",'[1]Unos rashoda P4'!$S$3:$S$501,"=43")</f>
        <v>0</v>
      </c>
      <c r="P50" s="56">
        <f>SUMIFS('[1]Unos rashoda i izdataka'!$L$3:$L$501,'[1]Unos rashoda i izdataka'!$C$3:$C$501,"=573",'[1]Unos rashoda i izdataka'!$P$3:$P$501,"=43")+SUMIFS('[1]Unos rashoda P4'!$J$3:$J$501,'[1]Unos rashoda P4'!$A$3:$A$501,"=573",'[1]Unos rashoda P4'!$S$3:$S$501,"=43")</f>
        <v>0</v>
      </c>
      <c r="Q50" s="56">
        <f>SUMIFS('[1]Unos rashoda i izdataka'!$L$3:$L$501,'[1]Unos rashoda i izdataka'!$C$3:$C$501,"=575",'[1]Unos rashoda i izdataka'!$P$3:$P$501,"=43")+SUMIFS('[1]Unos rashoda P4'!$J$3:$J$501,'[1]Unos rashoda P4'!$A$3:$A$501,"=575",'[1]Unos rashoda P4'!$S$3:$S$501,"=43")</f>
        <v>0</v>
      </c>
      <c r="R50" s="56">
        <f>SUMIFS('[1]Unos rashoda i izdataka'!$L$3:$L$501,'[1]Unos rashoda i izdataka'!$Q$3:$Q$501,"=576",'[1]Unos rashoda i izdataka'!$P$3:$P$501,"=43")+SUMIFS('[1]Unos rashoda P4'!$J$3:$J$501,'[1]Unos rashoda P4'!$A$3:$A$501,"=576",'[1]Unos rashoda P4'!$S$3:$S$501,"=43")</f>
        <v>0</v>
      </c>
      <c r="S50" s="56">
        <f>SUMIFS('[1]Unos rashoda i izdataka'!$L$3:$L$501,'[1]Unos rashoda i izdataka'!$C$3:$C$501,"=581",'[1]Unos rashoda i izdataka'!$P$3:$P$501,"=43")+SUMIFS('[1]Unos rashoda P4'!$J$3:$J$501,'[1]Unos rashoda P4'!$A$3:$A$501,"=581",'[1]Unos rashoda P4'!$S$3:$S$501,"=43")</f>
        <v>0</v>
      </c>
      <c r="T50" s="56">
        <f>SUMIFS('[1]Unos rashoda i izdataka'!$L$3:$L$501,'[1]Unos rashoda i izdataka'!$C$3:$C$501,"=61",'[1]Unos rashoda i izdataka'!$P$3:$P$501,"=43")+SUMIFS('[1]Unos rashoda P4'!$J$3:$J$501,'[1]Unos rashoda P4'!$A$3:$A$501,"=61",'[1]Unos rashoda P4'!$S$3:$S$501,"=43")</f>
        <v>0</v>
      </c>
      <c r="U50" s="56">
        <f>SUMIFS('[1]Unos rashoda i izdataka'!$L$3:$L$501,'[1]Unos rashoda i izdataka'!$C$3:$C$501,"=63",'[1]Unos rashoda i izdataka'!$P$3:$P$501,"=43")+SUMIFS('[1]Unos rashoda P4'!$J$3:$J$501,'[1]Unos rashoda P4'!$A$3:$A$501,"=63",'[1]Unos rashoda P4'!$S$3:$S$501,"=43")</f>
        <v>0</v>
      </c>
      <c r="V50" s="56">
        <f>SUMIFS('[1]Unos rashoda i izdataka'!$L$3:$L$501,'[1]Unos rashoda i izdataka'!$C$3:$C$501,"=71",'[1]Unos rashoda i izdataka'!$P$3:$P$501,"=43")+SUMIFS('[1]Unos rashoda P4'!$J$3:$J$501,'[1]Unos rashoda P4'!$A$3:$A$501,"=71",'[1]Unos rashoda P4'!$S$3:$S$501,"=43")</f>
        <v>0</v>
      </c>
      <c r="W50" s="56">
        <f>SUMIFS('[1]Unos rashoda i izdataka'!$L$3:$L$501,'[1]Unos rashoda i izdataka'!$C$3:$C$501,"=81",'[1]Unos rashoda i izdataka'!$P$3:$P$501,"=43")+SUMIFS('[1]Unos rashoda P4'!$J$3:$J$501,'[1]Unos rashoda P4'!$A$3:$A$501,"=81",'[1]Unos rashoda P4'!$S$3:$S$501,"=43")</f>
        <v>0</v>
      </c>
    </row>
    <row r="51" spans="1:23" ht="25.5" x14ac:dyDescent="0.25">
      <c r="A51" s="47">
        <v>2025</v>
      </c>
      <c r="B51" s="53">
        <v>44</v>
      </c>
      <c r="C51" s="54" t="s">
        <v>145</v>
      </c>
      <c r="D51" s="59">
        <f t="shared" si="17"/>
        <v>0</v>
      </c>
      <c r="E51" s="56">
        <f>SUMIFS('[1]Unos rashoda i izdataka'!$L$3:$L$501,'[1]Unos rashoda i izdataka'!$C$3:$C$501,"=11",'[1]Unos rashoda i izdataka'!$P$3:$P$501,"=44")+SUMIFS('[1]Unos rashoda P4'!$J$3:$J$501,'[1]Unos rashoda P4'!$A$3:$A$501,"=11",'[1]Unos rashoda P4'!$S$3:$S$501,"=44")</f>
        <v>0</v>
      </c>
      <c r="F51" s="56">
        <f>SUMIFS('[1]Unos rashoda i izdataka'!$L$3:$L$501,'[1]Unos rashoda i izdataka'!$C$3:$C$501,"=12",'[1]Unos rashoda i izdataka'!$P$3:$P$501,"=44")+SUMIFS('[1]Unos rashoda P4'!$J$3:$J$501,'[1]Unos rashoda P4'!$A$3:$A$501,"=12",'[1]Unos rashoda P4'!$S$3:$S$501,"=44")</f>
        <v>0</v>
      </c>
      <c r="G51" s="56">
        <f>SUMIFS('[1]Unos rashoda i izdataka'!$L$3:$L$501,'[1]Unos rashoda i izdataka'!$C$3:$C$501,"=31",'[1]Unos rashoda i izdataka'!$P$3:$P$501,"=44")+SUMIFS('[1]Unos rashoda P4'!$J$3:$J$501,'[1]Unos rashoda P4'!$A$3:$A$501,"=31",'[1]Unos rashoda P4'!$S$3:$S$501,"=44")</f>
        <v>0</v>
      </c>
      <c r="H51" s="56">
        <f>SUMIFS('[1]Unos rashoda i izdataka'!$L$3:$L$501,'[1]Unos rashoda i izdataka'!$C$3:$C$501,"=41",'[1]Unos rashoda i izdataka'!$P$3:$P$501,"=44")+SUMIFS('[1]Unos rashoda P4'!$J$3:$J$501,'[1]Unos rashoda P4'!$A$3:$A$501,"=41",'[1]Unos rashoda P4'!$S$3:$S$501,"=44")</f>
        <v>0</v>
      </c>
      <c r="I51" s="56">
        <f>SUMIFS('[1]Unos rashoda i izdataka'!$L$3:$L$501,'[1]Unos rashoda i izdataka'!$C$3:$C$501,"=43",'[1]Unos rashoda i izdataka'!$P$3:$P$501,"=44")+SUMIFS('[1]Unos rashoda P4'!$J$3:$J$501,'[1]Unos rashoda P4'!$A$3:$A$501,"=43",'[1]Unos rashoda P4'!$S$3:$S$501,"=44")</f>
        <v>0</v>
      </c>
      <c r="J51" s="56">
        <f>SUMIFS('[1]Unos rashoda i izdataka'!$L$3:$L$501,'[1]Unos rashoda i izdataka'!$C$3:$C$501,"=51",'[1]Unos rashoda i izdataka'!$P$3:$P$501,"=44")+SUMIFS('[1]Unos rashoda P4'!$J$3:$J$501,'[1]Unos rashoda P4'!$A$3:$A$501,"=51",'[1]Unos rashoda P4'!$S$3:$S$501,"=44")</f>
        <v>0</v>
      </c>
      <c r="K51" s="56">
        <f>SUMIFS('[1]Unos rashoda i izdataka'!$L$3:$L$501,'[1]Unos rashoda i izdataka'!$C$3:$C$501,"=52",'[1]Unos rashoda i izdataka'!$P$3:$P$501,"=44")+SUMIFS('[1]Unos rashoda P4'!$J$3:$J$501,'[1]Unos rashoda P4'!$A$3:$A$501,"=52",'[1]Unos rashoda P4'!$S$3:$S$501,"=44")</f>
        <v>0</v>
      </c>
      <c r="L51" s="56">
        <f>SUMIFS('[1]Unos rashoda i izdataka'!$L$3:$L$501,'[1]Unos rashoda i izdataka'!$C$3:$C$501,"=552",'[1]Unos rashoda i izdataka'!$P$3:$P$501,"=44")+SUMIFS('[1]Unos rashoda P4'!$J$3:$J$501,'[1]Unos rashoda P4'!$A$3:$A$501,"=552",'[1]Unos rashoda P4'!$S$3:$S$501,"=44")</f>
        <v>0</v>
      </c>
      <c r="M51" s="56">
        <f>SUMIFS('[1]Unos rashoda i izdataka'!$L$3:$L$501,'[1]Unos rashoda i izdataka'!$C$3:$C$501,"=559",'[1]Unos rashoda i izdataka'!$P$3:$P$501,"=44")+SUMIFS('[1]Unos rashoda P4'!$J$3:$J$501,'[1]Unos rashoda P4'!$A$3:$A$501,"=559",'[1]Unos rashoda P4'!$S$3:$S$501,"=44")</f>
        <v>0</v>
      </c>
      <c r="N51" s="56">
        <f>SUMIFS('[1]Unos rashoda i izdataka'!$L$3:$L$501,'[1]Unos rashoda i izdataka'!$C$3:$C$501,"=561",'[1]Unos rashoda i izdataka'!$P$3:$P$501,"=44")+SUMIFS('[1]Unos rashoda P4'!$J$3:$J$501,'[1]Unos rashoda P4'!$A$3:$A$501,"=561",'[1]Unos rashoda P4'!$S$3:$S$501,"=44")</f>
        <v>0</v>
      </c>
      <c r="O51" s="56">
        <f>SUMIFS('[1]Unos rashoda i izdataka'!$L$3:$L$501,'[1]Unos rashoda i izdataka'!$C$3:$C$501,"=563",'[1]Unos rashoda i izdataka'!$P$3:$P$501,"=44")+SUMIFS('[1]Unos rashoda P4'!$J$3:$J$501,'[1]Unos rashoda P4'!$A$3:$A$501,"=563",'[1]Unos rashoda P4'!$S$3:$S$501,"=44")</f>
        <v>0</v>
      </c>
      <c r="P51" s="56">
        <f>SUMIFS('[1]Unos rashoda i izdataka'!$L$3:$L$501,'[1]Unos rashoda i izdataka'!$C$3:$C$501,"=573",'[1]Unos rashoda i izdataka'!$P$3:$P$501,"=44")+SUMIFS('[1]Unos rashoda P4'!$J$3:$J$501,'[1]Unos rashoda P4'!$A$3:$A$501,"=573",'[1]Unos rashoda P4'!$S$3:$S$501,"=44")</f>
        <v>0</v>
      </c>
      <c r="Q51" s="56">
        <f>SUMIFS('[1]Unos rashoda i izdataka'!$L$3:$L$501,'[1]Unos rashoda i izdataka'!$C$3:$C$501,"=575",'[1]Unos rashoda i izdataka'!$P$3:$P$501,"=44")+SUMIFS('[1]Unos rashoda P4'!$J$3:$J$501,'[1]Unos rashoda P4'!$A$3:$A$501,"=575",'[1]Unos rashoda P4'!$S$3:$S$501,"=44")</f>
        <v>0</v>
      </c>
      <c r="R51" s="56">
        <f>SUMIFS('[1]Unos rashoda i izdataka'!$L$3:$L$501,'[1]Unos rashoda i izdataka'!$Q$3:$Q$501,"=576",'[1]Unos rashoda i izdataka'!$P$3:$P$501,"=44")+SUMIFS('[1]Unos rashoda P4'!$J$3:$J$501,'[1]Unos rashoda P4'!$A$3:$A$501,"=576",'[1]Unos rashoda P4'!$S$3:$S$501,"=44")</f>
        <v>0</v>
      </c>
      <c r="S51" s="56">
        <f>SUMIFS('[1]Unos rashoda i izdataka'!$L$3:$L$501,'[1]Unos rashoda i izdataka'!$C$3:$C$501,"=581",'[1]Unos rashoda i izdataka'!$P$3:$P$501,"=44")+SUMIFS('[1]Unos rashoda P4'!$J$3:$J$501,'[1]Unos rashoda P4'!$A$3:$A$501,"=581",'[1]Unos rashoda P4'!$S$3:$S$501,"=44")</f>
        <v>0</v>
      </c>
      <c r="T51" s="56">
        <f>SUMIFS('[1]Unos rashoda i izdataka'!$L$3:$L$501,'[1]Unos rashoda i izdataka'!$C$3:$C$501,"=61",'[1]Unos rashoda i izdataka'!$P$3:$P$501,"=44")+SUMIFS('[1]Unos rashoda P4'!$J$3:$J$501,'[1]Unos rashoda P4'!$A$3:$A$501,"=61",'[1]Unos rashoda P4'!$S$3:$S$501,"=44")</f>
        <v>0</v>
      </c>
      <c r="U51" s="56">
        <f>SUMIFS('[1]Unos rashoda i izdataka'!$L$3:$L$501,'[1]Unos rashoda i izdataka'!$C$3:$C$501,"=63",'[1]Unos rashoda i izdataka'!$P$3:$P$501,"=44")+SUMIFS('[1]Unos rashoda P4'!$J$3:$J$501,'[1]Unos rashoda P4'!$A$3:$A$501,"=63",'[1]Unos rashoda P4'!$S$3:$S$501,"=44")</f>
        <v>0</v>
      </c>
      <c r="V51" s="56">
        <f>SUMIFS('[1]Unos rashoda i izdataka'!$L$3:$L$501,'[1]Unos rashoda i izdataka'!$C$3:$C$501,"=71",'[1]Unos rashoda i izdataka'!$P$3:$P$501,"=44")+SUMIFS('[1]Unos rashoda P4'!$J$3:$J$501,'[1]Unos rashoda P4'!$A$3:$A$501,"=71",'[1]Unos rashoda P4'!$S$3:$S$501,"=44")</f>
        <v>0</v>
      </c>
      <c r="W51" s="56">
        <f>SUMIFS('[1]Unos rashoda i izdataka'!$L$3:$L$501,'[1]Unos rashoda i izdataka'!$C$3:$C$501,"=81",'[1]Unos rashoda i izdataka'!$P$3:$P$501,"=44")+SUMIFS('[1]Unos rashoda P4'!$J$3:$J$501,'[1]Unos rashoda P4'!$A$3:$A$501,"=81",'[1]Unos rashoda P4'!$S$3:$S$501,"=44")</f>
        <v>0</v>
      </c>
    </row>
    <row r="52" spans="1:23" x14ac:dyDescent="0.25">
      <c r="A52" s="47">
        <v>2025</v>
      </c>
      <c r="B52" s="57">
        <v>45</v>
      </c>
      <c r="C52" s="58" t="s">
        <v>146</v>
      </c>
      <c r="D52" s="59">
        <f t="shared" si="17"/>
        <v>268764</v>
      </c>
      <c r="E52" s="56">
        <f>SUMIFS('[1]Unos rashoda i izdataka'!$L$3:$L$501,'[1]Unos rashoda i izdataka'!$C$3:$C$501,"=11",'[1]Unos rashoda i izdataka'!$P$3:$P$501,"=45")+SUMIFS('[1]Unos rashoda P4'!$J$3:$J$501,'[1]Unos rashoda P4'!$A$3:$A$501,"=11",'[1]Unos rashoda P4'!$S$3:$S$501,"=45")</f>
        <v>0</v>
      </c>
      <c r="F52" s="56">
        <f>SUMIFS('[1]Unos rashoda i izdataka'!$L$3:$L$501,'[1]Unos rashoda i izdataka'!$C$3:$C$501,"=12",'[1]Unos rashoda i izdataka'!$P$3:$P$501,"=45")+SUMIFS('[1]Unos rashoda P4'!$J$3:$J$501,'[1]Unos rashoda P4'!$A$3:$A$501,"=12",'[1]Unos rashoda P4'!$S$3:$S$501,"=45")</f>
        <v>0</v>
      </c>
      <c r="G52" s="56">
        <f>SUMIFS('[1]Unos rashoda i izdataka'!$L$3:$L$501,'[1]Unos rashoda i izdataka'!$C$3:$C$501,"=31",'[1]Unos rashoda i izdataka'!$P$3:$P$501,"=45")+SUMIFS('[1]Unos rashoda P4'!$J$3:$J$501,'[1]Unos rashoda P4'!$A$3:$A$501,"=31",'[1]Unos rashoda P4'!$S$3:$S$501,"=45")</f>
        <v>0</v>
      </c>
      <c r="H52" s="56">
        <f>SUMIFS('[1]Unos rashoda i izdataka'!$L$3:$L$501,'[1]Unos rashoda i izdataka'!$C$3:$C$501,"=41",'[1]Unos rashoda i izdataka'!$P$3:$P$501,"=45")+SUMIFS('[1]Unos rashoda P4'!$J$3:$J$501,'[1]Unos rashoda P4'!$A$3:$A$501,"=41",'[1]Unos rashoda P4'!$S$3:$S$501,"=45")</f>
        <v>0</v>
      </c>
      <c r="I52" s="56">
        <f>SUMIFS('[1]Unos rashoda i izdataka'!$L$3:$L$501,'[1]Unos rashoda i izdataka'!$C$3:$C$501,"=43",'[1]Unos rashoda i izdataka'!$P$3:$P$501,"=45")+SUMIFS('[1]Unos rashoda P4'!$J$3:$J$501,'[1]Unos rashoda P4'!$A$3:$A$501,"=43",'[1]Unos rashoda P4'!$S$3:$S$501,"=45")</f>
        <v>268764</v>
      </c>
      <c r="J52" s="56">
        <f>SUMIFS('[1]Unos rashoda i izdataka'!$L$3:$L$501,'[1]Unos rashoda i izdataka'!$C$3:$C$501,"=51",'[1]Unos rashoda i izdataka'!$P$3:$P$501,"=45")+SUMIFS('[1]Unos rashoda P4'!$J$3:$J$501,'[1]Unos rashoda P4'!$A$3:$A$501,"=51",'[1]Unos rashoda P4'!$S$3:$S$501,"=45")</f>
        <v>0</v>
      </c>
      <c r="K52" s="56">
        <f>SUMIFS('[1]Unos rashoda i izdataka'!$L$3:$L$501,'[1]Unos rashoda i izdataka'!$C$3:$C$501,"=52",'[1]Unos rashoda i izdataka'!$P$3:$P$501,"=45")+SUMIFS('[1]Unos rashoda P4'!$J$3:$J$501,'[1]Unos rashoda P4'!$A$3:$A$501,"=52",'[1]Unos rashoda P4'!$S$3:$S$501,"=45")</f>
        <v>0</v>
      </c>
      <c r="L52" s="56">
        <f>SUMIFS('[1]Unos rashoda i izdataka'!$L$3:$L$501,'[1]Unos rashoda i izdataka'!$C$3:$C$501,"=552",'[1]Unos rashoda i izdataka'!$P$3:$P$501,"=45")+SUMIFS('[1]Unos rashoda P4'!$J$3:$J$501,'[1]Unos rashoda P4'!$A$3:$A$501,"=552",'[1]Unos rashoda P4'!$S$3:$S$501,"=45")</f>
        <v>0</v>
      </c>
      <c r="M52" s="56">
        <f>SUMIFS('[1]Unos rashoda i izdataka'!$L$3:$L$501,'[1]Unos rashoda i izdataka'!$C$3:$C$501,"=559",'[1]Unos rashoda i izdataka'!$P$3:$P$501,"=45")+SUMIFS('[1]Unos rashoda P4'!$J$3:$J$501,'[1]Unos rashoda P4'!$A$3:$A$501,"=559",'[1]Unos rashoda P4'!$S$3:$S$501,"=45")</f>
        <v>0</v>
      </c>
      <c r="N52" s="56">
        <f>SUMIFS('[1]Unos rashoda i izdataka'!$L$3:$L$501,'[1]Unos rashoda i izdataka'!$C$3:$C$501,"=561",'[1]Unos rashoda i izdataka'!$P$3:$P$501,"=45")+SUMIFS('[1]Unos rashoda P4'!$J$3:$J$501,'[1]Unos rashoda P4'!$A$3:$A$501,"=561",'[1]Unos rashoda P4'!$S$3:$S$501,"=45")</f>
        <v>0</v>
      </c>
      <c r="O52" s="56">
        <f>SUMIFS('[1]Unos rashoda i izdataka'!$L$3:$L$501,'[1]Unos rashoda i izdataka'!$C$3:$C$501,"=563",'[1]Unos rashoda i izdataka'!$P$3:$P$501,"=45")+SUMIFS('[1]Unos rashoda P4'!$J$3:$J$501,'[1]Unos rashoda P4'!$A$3:$A$501,"=563",'[1]Unos rashoda P4'!$S$3:$S$501,"=45")</f>
        <v>0</v>
      </c>
      <c r="P52" s="56">
        <f>SUMIFS('[1]Unos rashoda i izdataka'!$L$3:$L$501,'[1]Unos rashoda i izdataka'!$C$3:$C$501,"=573",'[1]Unos rashoda i izdataka'!$P$3:$P$501,"=45")+SUMIFS('[1]Unos rashoda P4'!$J$3:$J$501,'[1]Unos rashoda P4'!$A$3:$A$501,"=573",'[1]Unos rashoda P4'!$S$3:$S$501,"=45")</f>
        <v>0</v>
      </c>
      <c r="Q52" s="56">
        <f>SUMIFS('[1]Unos rashoda i izdataka'!$L$3:$L$501,'[1]Unos rashoda i izdataka'!$C$3:$C$501,"=575",'[1]Unos rashoda i izdataka'!$P$3:$P$501,"=45")+SUMIFS('[1]Unos rashoda P4'!$J$3:$J$501,'[1]Unos rashoda P4'!$A$3:$A$501,"=575",'[1]Unos rashoda P4'!$S$3:$S$501,"=45")</f>
        <v>0</v>
      </c>
      <c r="R52" s="56">
        <f>SUMIFS('[1]Unos rashoda i izdataka'!$L$3:$L$501,'[1]Unos rashoda i izdataka'!$Q$3:$Q$501,"=576",'[1]Unos rashoda i izdataka'!$P$3:$P$501,"=45")+SUMIFS('[1]Unos rashoda P4'!$J$3:$J$501,'[1]Unos rashoda P4'!$A$3:$A$501,"=576",'[1]Unos rashoda P4'!$S$3:$S$501,"=45")</f>
        <v>0</v>
      </c>
      <c r="S52" s="56">
        <f>SUMIFS('[1]Unos rashoda i izdataka'!$L$3:$L$501,'[1]Unos rashoda i izdataka'!$C$3:$C$501,"=581",'[1]Unos rashoda i izdataka'!$P$3:$P$501,"=45")+SUMIFS('[1]Unos rashoda P4'!$J$3:$J$501,'[1]Unos rashoda P4'!$A$3:$A$501,"=581",'[1]Unos rashoda P4'!$S$3:$S$501,"=45")</f>
        <v>0</v>
      </c>
      <c r="T52" s="56">
        <f>SUMIFS('[1]Unos rashoda i izdataka'!$L$3:$L$501,'[1]Unos rashoda i izdataka'!$C$3:$C$501,"=61",'[1]Unos rashoda i izdataka'!$P$3:$P$501,"=45")+SUMIFS('[1]Unos rashoda P4'!$J$3:$J$501,'[1]Unos rashoda P4'!$A$3:$A$501,"=61",'[1]Unos rashoda P4'!$S$3:$S$501,"=45")</f>
        <v>0</v>
      </c>
      <c r="U52" s="56">
        <f>SUMIFS('[1]Unos rashoda i izdataka'!$L$3:$L$501,'[1]Unos rashoda i izdataka'!$C$3:$C$501,"=63",'[1]Unos rashoda i izdataka'!$P$3:$P$501,"=45")+SUMIFS('[1]Unos rashoda P4'!$J$3:$J$501,'[1]Unos rashoda P4'!$A$3:$A$501,"=63",'[1]Unos rashoda P4'!$S$3:$S$501,"=45")</f>
        <v>0</v>
      </c>
      <c r="V52" s="56">
        <f>SUMIFS('[1]Unos rashoda i izdataka'!$L$3:$L$501,'[1]Unos rashoda i izdataka'!$C$3:$C$501,"=71",'[1]Unos rashoda i izdataka'!$P$3:$P$501,"=45")+SUMIFS('[1]Unos rashoda P4'!$J$3:$J$501,'[1]Unos rashoda P4'!$A$3:$A$501,"=71",'[1]Unos rashoda P4'!$S$3:$S$501,"=45")</f>
        <v>0</v>
      </c>
      <c r="W52" s="56">
        <f>SUMIFS('[1]Unos rashoda i izdataka'!$L$3:$L$501,'[1]Unos rashoda i izdataka'!$C$3:$C$501,"=81",'[1]Unos rashoda i izdataka'!$P$3:$P$501,"=45")+SUMIFS('[1]Unos rashoda P4'!$J$3:$J$501,'[1]Unos rashoda P4'!$A$3:$A$501,"=81",'[1]Unos rashoda P4'!$S$3:$S$501,"=45")</f>
        <v>0</v>
      </c>
    </row>
  </sheetData>
  <mergeCells count="1">
    <mergeCell ref="B1:W1"/>
  </mergeCells>
  <pageMargins left="0.7" right="0.7" top="0.75" bottom="0.75" header="0.3" footer="0.3"/>
  <pageSetup paperSize="8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771F-B540-428D-8CE5-6260F790EFC8}">
  <dimension ref="A1:E31"/>
  <sheetViews>
    <sheetView workbookViewId="0">
      <selection activeCell="K24" sqref="K24"/>
    </sheetView>
  </sheetViews>
  <sheetFormatPr defaultRowHeight="15" x14ac:dyDescent="0.25"/>
  <cols>
    <col min="2" max="2" width="34" customWidth="1"/>
    <col min="3" max="5" width="14.140625" customWidth="1"/>
  </cols>
  <sheetData>
    <row r="1" spans="1:5" ht="21" x14ac:dyDescent="0.25">
      <c r="A1" s="66" t="s">
        <v>48</v>
      </c>
      <c r="B1" s="66"/>
      <c r="C1" s="66"/>
      <c r="D1" s="66"/>
      <c r="E1" s="66"/>
    </row>
    <row r="2" spans="1:5" x14ac:dyDescent="0.25">
      <c r="A2" s="5"/>
    </row>
    <row r="3" spans="1:5" x14ac:dyDescent="0.25">
      <c r="A3" s="5"/>
      <c r="E3" s="5" t="s">
        <v>3</v>
      </c>
    </row>
    <row r="4" spans="1:5" ht="38.25" x14ac:dyDescent="0.25">
      <c r="A4" s="32" t="s">
        <v>49</v>
      </c>
      <c r="B4" s="31" t="s">
        <v>50</v>
      </c>
      <c r="C4" s="31" t="s">
        <v>51</v>
      </c>
      <c r="D4" s="31" t="s">
        <v>52</v>
      </c>
      <c r="E4" s="31" t="s">
        <v>53</v>
      </c>
    </row>
    <row r="5" spans="1:5" x14ac:dyDescent="0.25">
      <c r="A5" s="33"/>
      <c r="B5" s="33" t="s">
        <v>54</v>
      </c>
      <c r="C5" s="34">
        <f>+C6+C9+C11+C14+C25+C28+C30</f>
        <v>14868358</v>
      </c>
      <c r="D5" s="34">
        <f t="shared" ref="D5:E5" si="0">+D6+D9+D11+D14+D25+D28+D30</f>
        <v>12976464</v>
      </c>
      <c r="E5" s="34">
        <f t="shared" si="0"/>
        <v>12446066</v>
      </c>
    </row>
    <row r="6" spans="1:5" x14ac:dyDescent="0.25">
      <c r="A6" s="35">
        <v>1</v>
      </c>
      <c r="B6" s="36" t="s">
        <v>55</v>
      </c>
      <c r="C6" s="37">
        <f>+C7+C8</f>
        <v>9043041</v>
      </c>
      <c r="D6" s="37">
        <f t="shared" ref="D6:E6" si="1">+D7+D8</f>
        <v>9073634</v>
      </c>
      <c r="E6" s="37">
        <f t="shared" si="1"/>
        <v>9090600</v>
      </c>
    </row>
    <row r="7" spans="1:5" x14ac:dyDescent="0.25">
      <c r="A7" s="38">
        <v>11</v>
      </c>
      <c r="B7" s="20" t="s">
        <v>56</v>
      </c>
      <c r="C7" s="39">
        <v>9024966</v>
      </c>
      <c r="D7" s="39">
        <v>9073634</v>
      </c>
      <c r="E7" s="39">
        <v>9090600</v>
      </c>
    </row>
    <row r="8" spans="1:5" x14ac:dyDescent="0.25">
      <c r="A8" s="38">
        <v>12</v>
      </c>
      <c r="B8" s="20" t="s">
        <v>57</v>
      </c>
      <c r="C8" s="39">
        <v>18075</v>
      </c>
      <c r="D8" s="39">
        <f>+'[1]A.2 RASHODI'!F21</f>
        <v>0</v>
      </c>
      <c r="E8" s="39">
        <f>+'[1]A.2 RASHODI'!F38</f>
        <v>0</v>
      </c>
    </row>
    <row r="9" spans="1:5" x14ac:dyDescent="0.25">
      <c r="A9" s="35">
        <v>3</v>
      </c>
      <c r="B9" s="36" t="s">
        <v>58</v>
      </c>
      <c r="C9" s="37">
        <f>+C10</f>
        <v>292253</v>
      </c>
      <c r="D9" s="37">
        <f t="shared" ref="D9:E9" si="2">+D10</f>
        <v>292021</v>
      </c>
      <c r="E9" s="37">
        <f t="shared" si="2"/>
        <v>292021</v>
      </c>
    </row>
    <row r="10" spans="1:5" x14ac:dyDescent="0.25">
      <c r="A10" s="38">
        <v>31</v>
      </c>
      <c r="B10" s="20" t="s">
        <v>59</v>
      </c>
      <c r="C10" s="39">
        <f>+'[1]A.2 RASHODI'!G4</f>
        <v>292253</v>
      </c>
      <c r="D10" s="39">
        <f>+'[1]A.2 RASHODI'!G21</f>
        <v>292021</v>
      </c>
      <c r="E10" s="39">
        <f>+'[1]A.2 RASHODI'!G38</f>
        <v>292021</v>
      </c>
    </row>
    <row r="11" spans="1:5" x14ac:dyDescent="0.25">
      <c r="A11" s="35">
        <v>4</v>
      </c>
      <c r="B11" s="36" t="s">
        <v>60</v>
      </c>
      <c r="C11" s="37">
        <f>+C12+C13</f>
        <v>3293381</v>
      </c>
      <c r="D11" s="37">
        <f t="shared" ref="D11:E11" si="3">+D12+D13</f>
        <v>2834376</v>
      </c>
      <c r="E11" s="37">
        <f t="shared" si="3"/>
        <v>2817786</v>
      </c>
    </row>
    <row r="12" spans="1:5" x14ac:dyDescent="0.25">
      <c r="A12" s="38">
        <v>41</v>
      </c>
      <c r="B12" s="20" t="s">
        <v>61</v>
      </c>
      <c r="C12" s="39">
        <f>+'[1]A.2 RASHODI'!H4</f>
        <v>0</v>
      </c>
      <c r="D12" s="39">
        <f>+'[1]A.2 RASHODI'!H21</f>
        <v>0</v>
      </c>
      <c r="E12" s="39">
        <f>+'[1]A.2 RASHODI'!H38</f>
        <v>0</v>
      </c>
    </row>
    <row r="13" spans="1:5" x14ac:dyDescent="0.25">
      <c r="A13" s="38">
        <v>43</v>
      </c>
      <c r="B13" s="20" t="s">
        <v>62</v>
      </c>
      <c r="C13" s="39">
        <f>+'[1]A.2 RASHODI'!I4</f>
        <v>3293381</v>
      </c>
      <c r="D13" s="39">
        <f>+'[1]A.2 RASHODI'!I21</f>
        <v>2834376</v>
      </c>
      <c r="E13" s="39">
        <f>+'[1]A.2 RASHODI'!I38</f>
        <v>2817786</v>
      </c>
    </row>
    <row r="14" spans="1:5" x14ac:dyDescent="0.25">
      <c r="A14" s="35">
        <v>5</v>
      </c>
      <c r="B14" s="36" t="s">
        <v>63</v>
      </c>
      <c r="C14" s="37">
        <f>SUM(C15:C24)</f>
        <v>2239683</v>
      </c>
      <c r="D14" s="37">
        <f t="shared" ref="D14:E14" si="4">SUM(D15:D24)</f>
        <v>776433</v>
      </c>
      <c r="E14" s="37">
        <f t="shared" si="4"/>
        <v>245659</v>
      </c>
    </row>
    <row r="15" spans="1:5" x14ac:dyDescent="0.25">
      <c r="A15" s="38">
        <v>51</v>
      </c>
      <c r="B15" s="20" t="s">
        <v>64</v>
      </c>
      <c r="C15" s="39">
        <v>534914</v>
      </c>
      <c r="D15" s="39">
        <v>129546</v>
      </c>
      <c r="E15" s="39">
        <f>+'[1]A.2 RASHODI'!J38</f>
        <v>0</v>
      </c>
    </row>
    <row r="16" spans="1:5" x14ac:dyDescent="0.25">
      <c r="A16" s="38">
        <v>52</v>
      </c>
      <c r="B16" s="20" t="s">
        <v>65</v>
      </c>
      <c r="C16" s="39">
        <v>1602342</v>
      </c>
      <c r="D16" s="39">
        <v>646887</v>
      </c>
      <c r="E16" s="39">
        <v>245659</v>
      </c>
    </row>
    <row r="17" spans="1:5" x14ac:dyDescent="0.25">
      <c r="A17" s="38">
        <v>552</v>
      </c>
      <c r="B17" s="20" t="s">
        <v>66</v>
      </c>
      <c r="C17" s="39">
        <f>+'[1]A.2 RASHODI'!L4</f>
        <v>0</v>
      </c>
      <c r="D17" s="39">
        <f>+'[1]A.2 RASHODI'!L21</f>
        <v>0</v>
      </c>
      <c r="E17" s="39">
        <f>+'[1]A.2 RASHODI'!L38</f>
        <v>0</v>
      </c>
    </row>
    <row r="18" spans="1:5" x14ac:dyDescent="0.25">
      <c r="A18" s="38">
        <v>559</v>
      </c>
      <c r="B18" s="20" t="s">
        <v>67</v>
      </c>
      <c r="C18" s="39">
        <f>+'[1]A.2 RASHODI'!M4</f>
        <v>0</v>
      </c>
      <c r="D18" s="39">
        <f>+'[1]A.2 RASHODI'!M21</f>
        <v>0</v>
      </c>
      <c r="E18" s="39">
        <f>+'[1]A.2 RASHODI'!M38</f>
        <v>0</v>
      </c>
    </row>
    <row r="19" spans="1:5" x14ac:dyDescent="0.25">
      <c r="A19" s="38">
        <v>561</v>
      </c>
      <c r="B19" s="20" t="s">
        <v>68</v>
      </c>
      <c r="C19" s="39">
        <v>102427</v>
      </c>
      <c r="D19" s="39">
        <f>+'[1]A.2 RASHODI'!N21</f>
        <v>0</v>
      </c>
      <c r="E19" s="39">
        <f>+'[1]A.2 RASHODI'!N38</f>
        <v>0</v>
      </c>
    </row>
    <row r="20" spans="1:5" x14ac:dyDescent="0.25">
      <c r="A20" s="38">
        <v>563</v>
      </c>
      <c r="B20" s="20" t="s">
        <v>69</v>
      </c>
      <c r="C20" s="39"/>
      <c r="D20" s="39">
        <f>+'[1]A.2 RASHODI'!O21</f>
        <v>0</v>
      </c>
      <c r="E20" s="39">
        <f>+'[1]A.2 RASHODI'!O38</f>
        <v>0</v>
      </c>
    </row>
    <row r="21" spans="1:5" ht="25.5" x14ac:dyDescent="0.25">
      <c r="A21" s="38">
        <v>573</v>
      </c>
      <c r="B21" s="20" t="s">
        <v>70</v>
      </c>
      <c r="C21" s="39">
        <f>+'[1]A.2 RASHODI'!P4</f>
        <v>0</v>
      </c>
      <c r="D21" s="39">
        <f>+'[1]A.2 RASHODI'!P21</f>
        <v>0</v>
      </c>
      <c r="E21" s="39">
        <f>+'[1]A.2 RASHODI'!P38</f>
        <v>0</v>
      </c>
    </row>
    <row r="22" spans="1:5" x14ac:dyDescent="0.25">
      <c r="A22" s="38">
        <v>575</v>
      </c>
      <c r="B22" s="20" t="s">
        <v>71</v>
      </c>
      <c r="C22" s="39">
        <f>+'[1]A.2 RASHODI'!Q4</f>
        <v>0</v>
      </c>
      <c r="D22" s="39">
        <f>+'[1]A.2 RASHODI'!Q21</f>
        <v>0</v>
      </c>
      <c r="E22" s="39">
        <f>+'[1]A.2 RASHODI'!Q38</f>
        <v>0</v>
      </c>
    </row>
    <row r="23" spans="1:5" x14ac:dyDescent="0.25">
      <c r="A23" s="38">
        <v>576</v>
      </c>
      <c r="B23" s="20" t="s">
        <v>72</v>
      </c>
      <c r="C23" s="39">
        <f>+'[1]A.2 RASHODI'!R4</f>
        <v>0</v>
      </c>
      <c r="D23" s="39">
        <f>+'[1]A.2 RASHODI'!R21</f>
        <v>0</v>
      </c>
      <c r="E23" s="39">
        <f>+'[1]A.2 RASHODI'!R38</f>
        <v>0</v>
      </c>
    </row>
    <row r="24" spans="1:5" x14ac:dyDescent="0.25">
      <c r="A24" s="38">
        <v>581</v>
      </c>
      <c r="B24" s="20" t="s">
        <v>73</v>
      </c>
      <c r="C24" s="39">
        <f>+'[1]A.2 RASHODI'!S4</f>
        <v>0</v>
      </c>
      <c r="D24" s="39">
        <f>+'[1]A.2 RASHODI'!S21</f>
        <v>0</v>
      </c>
      <c r="E24" s="39">
        <f>+'[1]A.2 RASHODI'!S38</f>
        <v>0</v>
      </c>
    </row>
    <row r="25" spans="1:5" x14ac:dyDescent="0.25">
      <c r="A25" s="35">
        <v>6</v>
      </c>
      <c r="B25" s="36" t="s">
        <v>74</v>
      </c>
      <c r="C25" s="37">
        <f>+C26+C27</f>
        <v>0</v>
      </c>
      <c r="D25" s="37">
        <f t="shared" ref="D25:E25" si="5">+D26+D27</f>
        <v>0</v>
      </c>
      <c r="E25" s="37">
        <f t="shared" si="5"/>
        <v>0</v>
      </c>
    </row>
    <row r="26" spans="1:5" x14ac:dyDescent="0.25">
      <c r="A26" s="38">
        <v>61</v>
      </c>
      <c r="B26" s="20" t="s">
        <v>75</v>
      </c>
      <c r="C26" s="39"/>
      <c r="D26" s="39"/>
      <c r="E26" s="39">
        <f>+'[1]A.2 RASHODI'!T38</f>
        <v>0</v>
      </c>
    </row>
    <row r="27" spans="1:5" x14ac:dyDescent="0.25">
      <c r="A27" s="38">
        <v>63</v>
      </c>
      <c r="B27" s="20" t="s">
        <v>76</v>
      </c>
      <c r="C27" s="39">
        <f>+'[1]A.2 RASHODI'!U4</f>
        <v>0</v>
      </c>
      <c r="D27" s="39">
        <f>+'[1]A.2 RASHODI'!U21</f>
        <v>0</v>
      </c>
      <c r="E27" s="39">
        <f>+'[1]A.2 RASHODI'!U38</f>
        <v>0</v>
      </c>
    </row>
    <row r="28" spans="1:5" ht="38.25" x14ac:dyDescent="0.25">
      <c r="A28" s="35">
        <v>7</v>
      </c>
      <c r="B28" s="36" t="s">
        <v>77</v>
      </c>
      <c r="C28" s="37">
        <f>+C29</f>
        <v>0</v>
      </c>
      <c r="D28" s="37">
        <f t="shared" ref="D28:E28" si="6">+D29</f>
        <v>0</v>
      </c>
      <c r="E28" s="37">
        <f t="shared" si="6"/>
        <v>0</v>
      </c>
    </row>
    <row r="29" spans="1:5" ht="25.5" x14ac:dyDescent="0.25">
      <c r="A29" s="38">
        <v>71</v>
      </c>
      <c r="B29" s="20" t="s">
        <v>78</v>
      </c>
      <c r="C29" s="39">
        <f>+'[1]A.2 RASHODI'!V4</f>
        <v>0</v>
      </c>
      <c r="D29" s="39">
        <f>+'[1]A.2 RASHODI'!V21</f>
        <v>0</v>
      </c>
      <c r="E29" s="39">
        <f>+'[1]A.2 RASHODI'!V38</f>
        <v>0</v>
      </c>
    </row>
    <row r="30" spans="1:5" x14ac:dyDescent="0.25">
      <c r="A30" s="35">
        <v>8</v>
      </c>
      <c r="B30" s="36" t="s">
        <v>79</v>
      </c>
      <c r="C30" s="37">
        <f>+C31</f>
        <v>0</v>
      </c>
      <c r="D30" s="37">
        <f t="shared" ref="D30:E30" si="7">+D31</f>
        <v>0</v>
      </c>
      <c r="E30" s="37">
        <f t="shared" si="7"/>
        <v>0</v>
      </c>
    </row>
    <row r="31" spans="1:5" x14ac:dyDescent="0.25">
      <c r="A31" s="38">
        <v>81</v>
      </c>
      <c r="B31" s="20" t="s">
        <v>80</v>
      </c>
      <c r="C31" s="39">
        <f>+'[1]A.2 RASHODI'!W4</f>
        <v>0</v>
      </c>
      <c r="D31" s="39">
        <f>+'[1]A.2 RASHODI'!W21</f>
        <v>0</v>
      </c>
      <c r="E31" s="39">
        <f>+'[1]A.2 RASHODI'!W38</f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E802-BFBF-4F1E-89DA-AD2CD08BF3FD}">
  <dimension ref="A1:J45"/>
  <sheetViews>
    <sheetView topLeftCell="A13" workbookViewId="0">
      <selection activeCell="H3" sqref="H3"/>
    </sheetView>
  </sheetViews>
  <sheetFormatPr defaultRowHeight="15" x14ac:dyDescent="0.25"/>
  <cols>
    <col min="1" max="1" width="41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customWidth="1"/>
    <col min="8" max="8" width="11.7109375" customWidth="1"/>
    <col min="9" max="9" width="12.7109375" customWidth="1"/>
    <col min="10" max="10" width="12.5703125" customWidth="1"/>
  </cols>
  <sheetData>
    <row r="1" spans="1:10" ht="24" thickBot="1" x14ac:dyDescent="0.4">
      <c r="A1" s="40"/>
      <c r="B1" s="67" t="s">
        <v>81</v>
      </c>
      <c r="C1" s="68"/>
      <c r="D1" s="68"/>
      <c r="E1" s="68"/>
      <c r="F1" s="68"/>
      <c r="G1" s="68"/>
      <c r="H1" s="68"/>
      <c r="I1" s="68"/>
      <c r="J1" s="69"/>
    </row>
    <row r="2" spans="1:10" x14ac:dyDescent="0.25">
      <c r="A2" s="40"/>
      <c r="G2" s="41"/>
    </row>
    <row r="3" spans="1:10" ht="47.25" x14ac:dyDescent="0.25">
      <c r="A3" s="42" t="s">
        <v>82</v>
      </c>
      <c r="B3" s="42" t="s">
        <v>83</v>
      </c>
      <c r="C3" s="42" t="s">
        <v>84</v>
      </c>
      <c r="D3" s="42" t="s">
        <v>85</v>
      </c>
      <c r="E3" s="42" t="s">
        <v>86</v>
      </c>
      <c r="F3" s="42" t="s">
        <v>87</v>
      </c>
      <c r="G3" s="42" t="s">
        <v>88</v>
      </c>
      <c r="H3" s="42" t="s">
        <v>149</v>
      </c>
      <c r="I3" s="42" t="s">
        <v>89</v>
      </c>
      <c r="J3" s="42" t="s">
        <v>90</v>
      </c>
    </row>
    <row r="4" spans="1:10" x14ac:dyDescent="0.25">
      <c r="A4" s="40" t="s">
        <v>122</v>
      </c>
      <c r="B4" t="s">
        <v>91</v>
      </c>
      <c r="C4" t="s">
        <v>112</v>
      </c>
      <c r="D4" t="s">
        <v>113</v>
      </c>
      <c r="E4">
        <v>11</v>
      </c>
      <c r="F4" t="s">
        <v>92</v>
      </c>
      <c r="G4" s="41" t="s">
        <v>93</v>
      </c>
      <c r="H4" s="43">
        <v>6698985.0133956596</v>
      </c>
      <c r="I4" s="43">
        <v>6731022.5818809783</v>
      </c>
      <c r="J4" s="43">
        <v>6763210.3427498937</v>
      </c>
    </row>
    <row r="5" spans="1:10" ht="16.5" customHeight="1" x14ac:dyDescent="0.25">
      <c r="A5" s="40"/>
      <c r="G5" s="41" t="s">
        <v>94</v>
      </c>
      <c r="H5" s="43">
        <v>106100.21508689092</v>
      </c>
      <c r="I5" s="43">
        <v>106607.63418103072</v>
      </c>
      <c r="J5" s="43">
        <v>107117.43206004199</v>
      </c>
    </row>
    <row r="6" spans="1:10" x14ac:dyDescent="0.25">
      <c r="A6" s="40"/>
      <c r="G6" s="41" t="s">
        <v>104</v>
      </c>
      <c r="H6" s="43">
        <v>40876.404537730275</v>
      </c>
      <c r="I6" s="43">
        <v>41071.893945034877</v>
      </c>
      <c r="J6" s="43">
        <v>41268.2998082829</v>
      </c>
    </row>
    <row r="7" spans="1:10" x14ac:dyDescent="0.25">
      <c r="A7" s="40"/>
      <c r="C7" t="s">
        <v>118</v>
      </c>
      <c r="D7" t="s">
        <v>119</v>
      </c>
      <c r="E7">
        <v>11</v>
      </c>
      <c r="F7" t="s">
        <v>92</v>
      </c>
      <c r="G7" s="41" t="s">
        <v>94</v>
      </c>
      <c r="H7" s="43"/>
      <c r="I7" s="43">
        <v>15927</v>
      </c>
      <c r="J7" s="43"/>
    </row>
    <row r="8" spans="1:10" x14ac:dyDescent="0.25">
      <c r="A8" s="40"/>
      <c r="C8" t="s">
        <v>108</v>
      </c>
      <c r="D8" t="s">
        <v>109</v>
      </c>
      <c r="E8">
        <v>11</v>
      </c>
      <c r="F8" t="s">
        <v>92</v>
      </c>
      <c r="G8" s="41" t="s">
        <v>93</v>
      </c>
      <c r="H8" s="43">
        <v>18747.6114628</v>
      </c>
      <c r="I8" s="43">
        <v>18747.6114628</v>
      </c>
      <c r="J8" s="43">
        <v>18747.6114628</v>
      </c>
    </row>
    <row r="9" spans="1:10" x14ac:dyDescent="0.25">
      <c r="A9" s="40"/>
      <c r="G9" s="41" t="s">
        <v>94</v>
      </c>
      <c r="H9" s="43">
        <v>1882.4992259999999</v>
      </c>
      <c r="I9" s="43">
        <v>1882.4992259999999</v>
      </c>
      <c r="J9" s="43">
        <v>1882.4992259999999</v>
      </c>
    </row>
    <row r="10" spans="1:10" x14ac:dyDescent="0.25">
      <c r="A10" s="40"/>
      <c r="G10" s="41" t="s">
        <v>97</v>
      </c>
      <c r="H10" s="43">
        <v>6016.1944175999997</v>
      </c>
      <c r="I10" s="43">
        <v>6016.1944175999997</v>
      </c>
      <c r="J10" s="43">
        <v>6016.1944175999997</v>
      </c>
    </row>
    <row r="11" spans="1:10" x14ac:dyDescent="0.25">
      <c r="A11" s="40"/>
      <c r="C11" t="s">
        <v>95</v>
      </c>
      <c r="D11" t="s">
        <v>96</v>
      </c>
      <c r="E11">
        <v>11</v>
      </c>
      <c r="F11" t="s">
        <v>92</v>
      </c>
      <c r="G11" s="41" t="s">
        <v>93</v>
      </c>
      <c r="H11" s="43">
        <v>29670.570033890643</v>
      </c>
      <c r="I11" s="43">
        <v>29670.570033890643</v>
      </c>
      <c r="J11" s="43">
        <v>29670.570033890643</v>
      </c>
    </row>
    <row r="12" spans="1:10" x14ac:dyDescent="0.25">
      <c r="A12" s="40"/>
      <c r="G12" s="41" t="s">
        <v>94</v>
      </c>
      <c r="H12" s="43">
        <v>1694359.7012622654</v>
      </c>
      <c r="I12" s="43">
        <v>1694359.7012622654</v>
      </c>
      <c r="J12" s="43">
        <v>1694359.7012622654</v>
      </c>
    </row>
    <row r="13" spans="1:10" x14ac:dyDescent="0.25">
      <c r="A13" s="40"/>
      <c r="G13" s="41" t="s">
        <v>97</v>
      </c>
      <c r="H13" s="43">
        <v>548.18605143446905</v>
      </c>
      <c r="I13" s="43">
        <v>548.18605143446905</v>
      </c>
      <c r="J13" s="43">
        <v>548.18605143446905</v>
      </c>
    </row>
    <row r="14" spans="1:10" x14ac:dyDescent="0.25">
      <c r="A14" s="40"/>
      <c r="G14" s="41" t="s">
        <v>107</v>
      </c>
      <c r="H14" s="43">
        <v>142445.81523268571</v>
      </c>
      <c r="I14" s="43">
        <v>142445.81523268571</v>
      </c>
      <c r="J14" s="43">
        <v>142445.81523268571</v>
      </c>
    </row>
    <row r="15" spans="1:10" x14ac:dyDescent="0.25">
      <c r="A15" s="40"/>
      <c r="G15" s="41" t="s">
        <v>99</v>
      </c>
      <c r="H15" s="43">
        <v>32871.34913240184</v>
      </c>
      <c r="I15" s="43">
        <v>32871.34913240184</v>
      </c>
      <c r="J15" s="43">
        <v>32871.34913240184</v>
      </c>
    </row>
    <row r="16" spans="1:10" x14ac:dyDescent="0.25">
      <c r="A16" s="40"/>
      <c r="G16" s="41" t="s">
        <v>100</v>
      </c>
      <c r="H16" s="43">
        <v>22462.418806369031</v>
      </c>
      <c r="I16" s="43">
        <v>22462.418806369031</v>
      </c>
      <c r="J16" s="43">
        <v>22462.418806369031</v>
      </c>
    </row>
    <row r="17" spans="1:10" x14ac:dyDescent="0.25">
      <c r="A17" s="40"/>
      <c r="C17" t="s">
        <v>114</v>
      </c>
      <c r="D17" t="s">
        <v>115</v>
      </c>
      <c r="E17">
        <v>51</v>
      </c>
      <c r="F17" t="s">
        <v>101</v>
      </c>
      <c r="G17" s="41" t="s">
        <v>93</v>
      </c>
      <c r="H17" s="43">
        <v>40933.94432278187</v>
      </c>
      <c r="I17" s="43"/>
      <c r="J17" s="43"/>
    </row>
    <row r="18" spans="1:10" x14ac:dyDescent="0.25">
      <c r="A18" s="40"/>
      <c r="G18" s="41" t="s">
        <v>94</v>
      </c>
      <c r="H18" s="43">
        <v>174669</v>
      </c>
      <c r="I18" s="43">
        <v>40270</v>
      </c>
      <c r="J18" s="43"/>
    </row>
    <row r="19" spans="1:10" x14ac:dyDescent="0.25">
      <c r="A19" s="40"/>
      <c r="G19" s="41" t="s">
        <v>107</v>
      </c>
      <c r="H19" s="43">
        <v>314211</v>
      </c>
      <c r="I19" s="43">
        <v>84176</v>
      </c>
      <c r="J19" s="43"/>
    </row>
    <row r="20" spans="1:10" x14ac:dyDescent="0.25">
      <c r="A20" s="40"/>
      <c r="G20" s="41" t="s">
        <v>99</v>
      </c>
      <c r="H20" s="43">
        <v>5100</v>
      </c>
      <c r="I20" s="43">
        <v>5100</v>
      </c>
      <c r="J20" s="43"/>
    </row>
    <row r="21" spans="1:10" x14ac:dyDescent="0.25">
      <c r="A21" s="40"/>
      <c r="E21">
        <v>52</v>
      </c>
      <c r="F21" t="s">
        <v>102</v>
      </c>
      <c r="G21" s="41" t="s">
        <v>93</v>
      </c>
      <c r="H21" s="43">
        <v>61454</v>
      </c>
      <c r="I21" s="43">
        <v>52023</v>
      </c>
      <c r="J21" s="43">
        <v>10356</v>
      </c>
    </row>
    <row r="22" spans="1:10" x14ac:dyDescent="0.25">
      <c r="A22" s="40"/>
      <c r="G22" s="41" t="s">
        <v>94</v>
      </c>
      <c r="H22" s="43">
        <v>93277</v>
      </c>
      <c r="I22" s="43">
        <v>34427</v>
      </c>
      <c r="J22" s="43">
        <v>3597</v>
      </c>
    </row>
    <row r="23" spans="1:10" x14ac:dyDescent="0.25">
      <c r="A23" s="40"/>
      <c r="G23" s="41" t="s">
        <v>97</v>
      </c>
      <c r="H23" s="43">
        <v>2160</v>
      </c>
      <c r="I23" s="43">
        <v>1127</v>
      </c>
      <c r="J23" s="43">
        <v>66</v>
      </c>
    </row>
    <row r="24" spans="1:10" x14ac:dyDescent="0.25">
      <c r="A24" s="40"/>
      <c r="G24" s="41" t="s">
        <v>107</v>
      </c>
      <c r="H24" s="43">
        <v>717008</v>
      </c>
      <c r="I24" s="43">
        <v>239661</v>
      </c>
      <c r="J24" s="43">
        <v>60612</v>
      </c>
    </row>
    <row r="25" spans="1:10" x14ac:dyDescent="0.25">
      <c r="A25" s="40"/>
      <c r="G25" s="41" t="s">
        <v>98</v>
      </c>
      <c r="H25" s="43">
        <v>463723</v>
      </c>
      <c r="I25" s="43">
        <v>127275</v>
      </c>
      <c r="J25" s="43">
        <v>19975</v>
      </c>
    </row>
    <row r="26" spans="1:10" x14ac:dyDescent="0.25">
      <c r="A26" s="40"/>
      <c r="C26" t="s">
        <v>116</v>
      </c>
      <c r="D26" t="s">
        <v>117</v>
      </c>
      <c r="E26">
        <v>31</v>
      </c>
      <c r="F26" t="s">
        <v>103</v>
      </c>
      <c r="G26" s="41" t="s">
        <v>93</v>
      </c>
      <c r="H26" s="43">
        <v>264517</v>
      </c>
      <c r="I26" s="43">
        <v>264484</v>
      </c>
      <c r="J26" s="43">
        <v>264484</v>
      </c>
    </row>
    <row r="27" spans="1:10" x14ac:dyDescent="0.25">
      <c r="A27" s="40"/>
      <c r="G27" s="41" t="s">
        <v>94</v>
      </c>
      <c r="H27" s="43">
        <v>27736</v>
      </c>
      <c r="I27" s="43">
        <v>27537</v>
      </c>
      <c r="J27" s="43">
        <v>27537</v>
      </c>
    </row>
    <row r="28" spans="1:10" x14ac:dyDescent="0.25">
      <c r="A28" s="40"/>
      <c r="E28">
        <v>43</v>
      </c>
      <c r="F28" t="s">
        <v>106</v>
      </c>
      <c r="G28" s="41" t="s">
        <v>93</v>
      </c>
      <c r="H28" s="43">
        <v>1347969</v>
      </c>
      <c r="I28" s="43">
        <v>1347969</v>
      </c>
      <c r="J28" s="43">
        <v>1347969</v>
      </c>
    </row>
    <row r="29" spans="1:10" x14ac:dyDescent="0.25">
      <c r="A29" s="40"/>
      <c r="G29" s="41" t="s">
        <v>94</v>
      </c>
      <c r="H29" s="43">
        <v>580564</v>
      </c>
      <c r="I29" s="43">
        <v>580564</v>
      </c>
      <c r="J29" s="43">
        <v>580564</v>
      </c>
    </row>
    <row r="30" spans="1:10" x14ac:dyDescent="0.25">
      <c r="A30" s="40"/>
      <c r="G30" s="41" t="s">
        <v>97</v>
      </c>
      <c r="H30" s="43">
        <v>25040</v>
      </c>
      <c r="I30" s="43">
        <v>25040</v>
      </c>
      <c r="J30" s="43">
        <v>25040</v>
      </c>
    </row>
    <row r="31" spans="1:10" x14ac:dyDescent="0.25">
      <c r="A31" s="40"/>
      <c r="G31" s="41" t="s">
        <v>107</v>
      </c>
      <c r="H31" s="43">
        <v>92460</v>
      </c>
      <c r="I31" s="43">
        <v>87177</v>
      </c>
      <c r="J31" s="43">
        <v>87177</v>
      </c>
    </row>
    <row r="32" spans="1:10" x14ac:dyDescent="0.25">
      <c r="A32" s="40"/>
      <c r="G32" s="41" t="s">
        <v>98</v>
      </c>
      <c r="H32" s="43">
        <v>1990</v>
      </c>
      <c r="I32" s="43">
        <v>1990</v>
      </c>
      <c r="J32" s="43">
        <v>1990</v>
      </c>
    </row>
    <row r="33" spans="1:10" x14ac:dyDescent="0.25">
      <c r="A33" s="40"/>
      <c r="G33" s="41" t="s">
        <v>104</v>
      </c>
      <c r="H33" s="43">
        <v>430000</v>
      </c>
      <c r="I33" s="43">
        <v>430000</v>
      </c>
      <c r="J33" s="43">
        <v>430000</v>
      </c>
    </row>
    <row r="34" spans="1:10" x14ac:dyDescent="0.25">
      <c r="A34" s="40"/>
      <c r="G34" s="41" t="s">
        <v>99</v>
      </c>
      <c r="H34" s="43">
        <v>211692</v>
      </c>
      <c r="I34" s="43">
        <v>6636</v>
      </c>
      <c r="J34" s="43">
        <v>6636</v>
      </c>
    </row>
    <row r="35" spans="1:10" x14ac:dyDescent="0.25">
      <c r="A35" s="40"/>
      <c r="G35" s="41" t="s">
        <v>100</v>
      </c>
      <c r="H35" s="43">
        <v>359854</v>
      </c>
      <c r="I35" s="43">
        <v>69646</v>
      </c>
      <c r="J35" s="43">
        <v>69646</v>
      </c>
    </row>
    <row r="36" spans="1:10" x14ac:dyDescent="0.25">
      <c r="A36" s="40"/>
      <c r="G36" s="41" t="s">
        <v>105</v>
      </c>
      <c r="H36" s="43">
        <v>243812</v>
      </c>
      <c r="I36" s="43">
        <v>285354</v>
      </c>
      <c r="J36" s="43">
        <v>268764</v>
      </c>
    </row>
    <row r="37" spans="1:10" x14ac:dyDescent="0.25">
      <c r="A37" s="40"/>
      <c r="E37">
        <v>52</v>
      </c>
      <c r="F37" t="s">
        <v>102</v>
      </c>
      <c r="G37" s="41" t="s">
        <v>93</v>
      </c>
      <c r="H37" s="43">
        <v>50073</v>
      </c>
      <c r="I37" s="43">
        <v>36841</v>
      </c>
      <c r="J37" s="43">
        <v>18156</v>
      </c>
    </row>
    <row r="38" spans="1:10" x14ac:dyDescent="0.25">
      <c r="A38" s="40"/>
      <c r="G38" s="41" t="s">
        <v>94</v>
      </c>
      <c r="H38" s="43">
        <v>132622</v>
      </c>
      <c r="I38" s="43">
        <v>73717</v>
      </c>
      <c r="J38" s="43">
        <v>64753</v>
      </c>
    </row>
    <row r="39" spans="1:10" x14ac:dyDescent="0.25">
      <c r="A39" s="40"/>
      <c r="G39" s="41" t="s">
        <v>107</v>
      </c>
      <c r="H39" s="43">
        <v>66144</v>
      </c>
      <c r="I39" s="43">
        <v>66144</v>
      </c>
      <c r="J39" s="43">
        <v>66144</v>
      </c>
    </row>
    <row r="40" spans="1:10" x14ac:dyDescent="0.25">
      <c r="A40" s="40"/>
      <c r="G40" s="41" t="s">
        <v>98</v>
      </c>
      <c r="H40" s="43">
        <v>2200</v>
      </c>
      <c r="I40" s="43"/>
      <c r="J40" s="43"/>
    </row>
    <row r="41" spans="1:10" x14ac:dyDescent="0.25">
      <c r="A41" s="40"/>
      <c r="G41" s="41" t="s">
        <v>99</v>
      </c>
      <c r="H41" s="43">
        <v>796</v>
      </c>
      <c r="I41" s="43"/>
      <c r="J41" s="43"/>
    </row>
    <row r="42" spans="1:10" x14ac:dyDescent="0.25">
      <c r="A42" s="40"/>
      <c r="G42" s="41" t="s">
        <v>100</v>
      </c>
      <c r="H42" s="43">
        <v>12885</v>
      </c>
      <c r="I42" s="43">
        <v>15672</v>
      </c>
      <c r="J42" s="43">
        <v>2000</v>
      </c>
    </row>
    <row r="43" spans="1:10" x14ac:dyDescent="0.25">
      <c r="A43" s="40"/>
      <c r="C43" t="s">
        <v>120</v>
      </c>
      <c r="D43" t="s">
        <v>121</v>
      </c>
      <c r="E43">
        <v>11</v>
      </c>
      <c r="F43" t="s">
        <v>92</v>
      </c>
      <c r="G43" s="41" t="s">
        <v>94</v>
      </c>
      <c r="H43" s="43">
        <v>230000.05</v>
      </c>
      <c r="I43" s="43">
        <v>230000.05</v>
      </c>
      <c r="J43" s="43">
        <v>230000.05</v>
      </c>
    </row>
    <row r="44" spans="1:10" x14ac:dyDescent="0.25">
      <c r="A44" s="40"/>
      <c r="C44" t="s">
        <v>110</v>
      </c>
      <c r="D44" t="s">
        <v>111</v>
      </c>
      <c r="E44">
        <v>12</v>
      </c>
      <c r="F44" t="s">
        <v>57</v>
      </c>
      <c r="G44" s="41" t="s">
        <v>93</v>
      </c>
      <c r="H44" s="43">
        <v>18075.276276902681</v>
      </c>
      <c r="I44" s="43"/>
      <c r="J44" s="43"/>
    </row>
    <row r="45" spans="1:10" x14ac:dyDescent="0.25">
      <c r="A45" s="40"/>
      <c r="E45">
        <v>561</v>
      </c>
      <c r="F45" t="s">
        <v>68</v>
      </c>
      <c r="G45" s="41" t="s">
        <v>93</v>
      </c>
      <c r="H45" s="43">
        <v>102426.56556911519</v>
      </c>
      <c r="I45" s="43"/>
      <c r="J45" s="43"/>
    </row>
  </sheetData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A.1. PRIHODI</vt:lpstr>
      <vt:lpstr>A.2. RASHODI</vt:lpstr>
      <vt:lpstr>A.3. RASHODI PREMA IZVORIMA FIN</vt:lpstr>
      <vt:lpstr>II.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2023-02-15T11:26:29Z</dcterms:modified>
</cp:coreProperties>
</file>